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еалВсего (с ТДЦ)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________xlfn.BAHTTEXT" hidden="1">#NAME?</definedName>
    <definedName name="____________________________xlfn.BAHTTEXT" hidden="1">#NAME?</definedName>
    <definedName name="___________________________xlfn.BAHTTEXT" hidden="1">#NAME?</definedName>
    <definedName name="__________________________xlfn.BAHTTEXT" hidden="1">#NAME?</definedName>
    <definedName name="_________________________xlfn.BAHTTEXT" hidden="1">#NAME?</definedName>
    <definedName name="________________________xlfn.BAHTTEXT" hidden="1">#NAME?</definedName>
    <definedName name="_______________________xlfn.BAHTTEXT" hidden="1">#NAME?</definedName>
    <definedName name="______________________xlfn.BAHTTEXT" hidden="1">#NAME?</definedName>
    <definedName name="_____________________xlfn.BAHTTEXT" hidden="1">#NAME?</definedName>
    <definedName name="____________________xlfn.BAHTTEXT" hidden="1">#NAME?</definedName>
    <definedName name="___________________xlfn.BAHTTEXT" hidden="1">#NAME?</definedName>
    <definedName name="__________________xlfn.BAHTTEXT" hidden="1">#NAME?</definedName>
    <definedName name="_________________xlfn.BAHTTEXT" hidden="1">#NAME?</definedName>
    <definedName name="________________xlfn.BAHTTEXT" hidden="1">#NAME?</definedName>
    <definedName name="_______________xlfn.BAHTTEXT" hidden="1">#NAME?</definedName>
    <definedName name="______________xlfn.BAHTTEXT" hidden="1">#NAME?</definedName>
    <definedName name="_____________xlfn.BAHTTEXT" hidden="1">#NAME?</definedName>
    <definedName name="____________xlfn.BAHTTEXT" hidden="1">#NAME?</definedName>
    <definedName name="___________xlfn.BAHTTEXT" hidden="1">#NAME?</definedName>
    <definedName name="__________xlfn.BAHTTEXT" hidden="1">#NAME?</definedName>
    <definedName name="_________xlfn.BAHTTEXT" hidden="1">#NAME?</definedName>
    <definedName name="________xlfn.BAHTTEXT" hidden="1">#NAME?</definedName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xlfn.BAHTTEXT" hidden="1">#NAME?</definedName>
    <definedName name="_08">#REF!</definedName>
    <definedName name="AccessDatabase" hidden="1">"C:\Documents and Settings\schoolfund1\Рабочий стол\жаха\прогноз доходов 2005 помесяц..mdb"</definedName>
    <definedName name="AE1148677">'[1]Жиззах янги раз'!#REF!</definedName>
    <definedName name="ANAL_SHARE_1">[2]Анализ!#REF!</definedName>
    <definedName name="ANAL_SHARE_2">[2]Анализ!#REF!</definedName>
    <definedName name="AP">[3]G1!$H$3</definedName>
    <definedName name="ASS_COUNT_1">[4]Расчеты!$B$15</definedName>
    <definedName name="ASS_COUNT_2">[4]Расчеты!$B$16</definedName>
    <definedName name="ASS_COUNT_3">[4]Расчеты!$B$17</definedName>
    <definedName name="ASS_COUNT_4">[4]Расчеты!$B$18</definedName>
    <definedName name="ASS_COUNT_5">[4]Расчеты!$B$19</definedName>
    <definedName name="ASSETS_TAX">[4]Данные!$B$26</definedName>
    <definedName name="BP">[3]G1!$D$3</definedName>
    <definedName name="Button_4">"прогноз_доходов_2005_помесяц__уд_вес_помесячный_Таблица"</definedName>
    <definedName name="CALC_SHARES">[5]Расчеты!#REF!</definedName>
    <definedName name="Capacity">'[2]План пр-ва_1'!$C$6:$AF$6</definedName>
    <definedName name="CAPEX_ROW">[4]Данные!$A$88</definedName>
    <definedName name="CASH_DEFICIT">[4]Расчеты!$B$43</definedName>
    <definedName name="CREDIT_FRA">[4]Расчеты!$C$34</definedName>
    <definedName name="CREDIT_INT">[4]Расчеты!$B$34</definedName>
    <definedName name="CREDIT_PERIOD">[4]Данные!$B$40</definedName>
    <definedName name="CURLANGUAGE">[5]Расчеты!$B$40</definedName>
    <definedName name="currency">'[2]Data input'!$B$14</definedName>
    <definedName name="CURRENCY_NAME">[5]Расчеты!$C$55</definedName>
    <definedName name="Currency_rate">'[2]Data input'!$B$15</definedName>
    <definedName name="DATA_ALLLEASES">[4]Данные!$A$186</definedName>
    <definedName name="DATA_ALLLOANS">[4]Данные!$A$167</definedName>
    <definedName name="DATA_ASSET_1">[4]Данные!$A$89</definedName>
    <definedName name="DATA_ASSET_2">[4]Данные!$A$91</definedName>
    <definedName name="DATA_ASSET_3">[4]Данные!$A$93</definedName>
    <definedName name="DATA_ASSET_4">[4]Данные!$A$95</definedName>
    <definedName name="DATA_ASSET_5">[4]Данные!$A$97</definedName>
    <definedName name="DATA_ASSET_END">[4]Данные!$A$99</definedName>
    <definedName name="DATA_GE_1_FROM">[4]Данные!$A$119</definedName>
    <definedName name="DATA_GE_1_TO">[4]Данные!$A$121</definedName>
    <definedName name="DATA_GE_2_FROM">[4]Данные!$A$122</definedName>
    <definedName name="DATA_GE_2_TO">[4]Данные!$A$124</definedName>
    <definedName name="DATA_GE_3_FROM">[4]Данные!$A$125</definedName>
    <definedName name="DATA_GE_3_TO">[4]Данные!$A$127</definedName>
    <definedName name="DATA_LEASES">[4]Данные!$A$177</definedName>
    <definedName name="DATA_LOANS">[4]Данные!$A$159</definedName>
    <definedName name="DATA_LOANSST">[4]Данные!$A$70</definedName>
    <definedName name="DATA_PERS_1">[4]Данные!$A$140</definedName>
    <definedName name="DATA_PERS_2">[4]Данные!$A$143</definedName>
    <definedName name="DATA_PERS_3">[4]Данные!$A$146</definedName>
    <definedName name="DATA_SHARES">[4]Данные!$A$172</definedName>
    <definedName name="DATAPROD_1">[4]Данные!$A$12</definedName>
    <definedName name="DATAPROD_2">[4]Данные!$A$57</definedName>
    <definedName name="DATAPROD_3">[4]Данные!$A$105</definedName>
    <definedName name="DATAPROD_4">[4]Данные!$A$108</definedName>
    <definedName name="DATAPROD_5">[4]Данные!$A$111</definedName>
    <definedName name="DATAPROD_6">[4]Данные!$A$114</definedName>
    <definedName name="DEBIT_FRA">[4]Расчеты!$C$33</definedName>
    <definedName name="DEBIT_INT">[4]Расчеты!$B$33</definedName>
    <definedName name="DEBIT_PERIOD">[4]Данные!$B$39</definedName>
    <definedName name="Dialog1_Button2_Click">#N/A</definedName>
    <definedName name="DISCOUT_FOR_PER">[5]Расчеты!$B$26</definedName>
    <definedName name="DIVIDEND_SHARE">[4]Данные!$B$175</definedName>
    <definedName name="EP">[3]G1!$D$5</definedName>
    <definedName name="Esc_Start_Date">'[2]Data input'!$B$10</definedName>
    <definedName name="GE_COUNT_1">[4]Расчеты!$B$48</definedName>
    <definedName name="GE_COUNT_2">[4]Расчеты!$B$49</definedName>
    <definedName name="GE_COUNT_3">[4]Расчеты!$B$50</definedName>
    <definedName name="hhh">#REF!</definedName>
    <definedName name="IN_ASSET_11">[4]Inside!$A$41</definedName>
    <definedName name="IN_ASSET_12">[4]Inside!$A$44</definedName>
    <definedName name="IN_ASSET_13">[4]Inside!$A$47</definedName>
    <definedName name="IN_ASSET_14">[4]Inside!$A$50</definedName>
    <definedName name="IN_ASSET_15">[4]Inside!$A$53</definedName>
    <definedName name="IN_ASSET_21">[4]Inside!$A$56</definedName>
    <definedName name="IN_ASSET_22">[4]Inside!$A$59</definedName>
    <definedName name="IN_ASSET_23">[4]Inside!$A$62</definedName>
    <definedName name="IN_ASSET_24">[4]Inside!$A$65</definedName>
    <definedName name="IN_ASSET_25">[4]Inside!$A$68</definedName>
    <definedName name="IN_ASSET_31">[4]Inside!$A$71</definedName>
    <definedName name="IN_ASSET_32">[4]Inside!$A$74</definedName>
    <definedName name="IN_ASSET_33">[4]Inside!$A$77</definedName>
    <definedName name="IN_ASSET_34">[4]Inside!$A$80</definedName>
    <definedName name="IN_ASSET_35">[4]Inside!$A$83</definedName>
    <definedName name="IN_ASSET_41">[4]Inside!$A$86</definedName>
    <definedName name="IN_ASSET_42">[4]Inside!$A$89</definedName>
    <definedName name="IN_ASSET_43">[4]Inside!$A$92</definedName>
    <definedName name="IN_ASSET_44">[4]Inside!$A$95</definedName>
    <definedName name="IN_ASSET_45">[4]Inside!$A$98</definedName>
    <definedName name="IN_ASSET_51">[4]Inside!$A$101</definedName>
    <definedName name="IN_ASSET_52">[4]Inside!$A$104</definedName>
    <definedName name="IN_ASSET_53">[4]Inside!$A$107</definedName>
    <definedName name="IN_ASSET_54">[4]Inside!$A$110</definedName>
    <definedName name="IN_ASSET_55">[4]Inside!$A$113</definedName>
    <definedName name="IN_ASSET_61">[4]Inside!$A$116</definedName>
    <definedName name="IN_ASSET_62">[4]Inside!$A$119</definedName>
    <definedName name="IN_ASSET_63">[4]Inside!$A$122</definedName>
    <definedName name="IN_ASSET_64">[4]Inside!$A$125</definedName>
    <definedName name="IN_ASSET_65">[4]Inside!$A$128</definedName>
    <definedName name="IN_ASSET_71">[4]Inside!$A$131</definedName>
    <definedName name="IN_ASSET_72">[4]Inside!$A$134</definedName>
    <definedName name="IN_ASSET_73">[4]Inside!$A$137</definedName>
    <definedName name="IN_ASSET_74">[4]Inside!$A$140</definedName>
    <definedName name="IN_ASSET_75">[4]Inside!$A$143</definedName>
    <definedName name="INSIDE_COST_1">[4]Inside!$A$22</definedName>
    <definedName name="INSIDE_COST_2">[4]Inside!$A$25</definedName>
    <definedName name="INSIDE_COST_3">[4]Inside!$A$28</definedName>
    <definedName name="INSIDE_COST_4">[4]Inside!$A$31</definedName>
    <definedName name="INSIDE_COST_5">[4]Inside!$A$34</definedName>
    <definedName name="INSIDE_COST_6">[4]Inside!$A$37</definedName>
    <definedName name="INSIDE_GE_1">[4]Inside!$A$148</definedName>
    <definedName name="INSIDE_GE_2">[4]Inside!$A$151</definedName>
    <definedName name="INSIDE_GE_3">[4]Inside!$A$154</definedName>
    <definedName name="INSIDE_GE_VAT_1">[4]Inside!$A$158</definedName>
    <definedName name="INSIDE_GE_VAT_2">[4]Inside!$A$161</definedName>
    <definedName name="INSIDE_GE_VAT_3">[4]Inside!$A$164</definedName>
    <definedName name="INSIDE_PERS_1">[4]Inside!$A$173</definedName>
    <definedName name="INSIDE_PERS_2">[4]Inside!$A$176</definedName>
    <definedName name="INSIDE_PERS_3">[4]Inside!$A$179</definedName>
    <definedName name="INSIDE_PROD_1">[4]Inside!$A$8</definedName>
    <definedName name="INSIDE_PROD_2">[4]Inside!$A$11</definedName>
    <definedName name="INSIDE_PROD_3">[4]Inside!$A$14</definedName>
    <definedName name="INSIDE_PROD_4">[4]Inside!$A$17</definedName>
    <definedName name="INSIDE_SHARE_1">[4]Inside!$A$183</definedName>
    <definedName name="INSIDE_SHARE_2">[4]Inside!$A$185</definedName>
    <definedName name="INSIDE_SHARE_3">[4]Inside!$A$187</definedName>
    <definedName name="INTER_RATE_1">[4]Данные!$B$164</definedName>
    <definedName name="INTER_RATE_2">[5]Данные!#REF!</definedName>
    <definedName name="INTER_RATE_3">[5]Данные!#REF!</definedName>
    <definedName name="INVENT_FRA">[4]Расчеты!$C$35</definedName>
    <definedName name="INVENT_INT">[4]Расчеты!$B$35</definedName>
    <definedName name="INVENT_PERIOD">[4]Данные!$B$38</definedName>
    <definedName name="IS_DEMO">[4]Расчеты!$B$61</definedName>
    <definedName name="IS_PRO">[4]Расчеты!$B$5</definedName>
    <definedName name="JAP">[6]G1!$H$3</definedName>
    <definedName name="JBP">[6]G1!$D$3</definedName>
    <definedName name="JEP">[6]G1!$D$5</definedName>
    <definedName name="jjkjkjkjkj">#REF!</definedName>
    <definedName name="Jlen">[6]G1!$D$20</definedName>
    <definedName name="JListToShow">[6]G1!$H$7:$H$20</definedName>
    <definedName name="JMonts">[6]G1!$C$7:$C$18</definedName>
    <definedName name="LANG_SELECTION_PROMPT">[4]Данные!$A$18</definedName>
    <definedName name="LEASES_NUM">[4]Расчеты!$B$24</definedName>
    <definedName name="len">[3]G1!$D$20</definedName>
    <definedName name="LINK_TO_SENS">[5]Данные!#REF!</definedName>
    <definedName name="LIST_PERLEN">[4]Расчеты!$B$6</definedName>
    <definedName name="LIST_STARTMON">[4]Расчеты!$B$9</definedName>
    <definedName name="LIST_STARTYEAR">[4]Расчеты!$B$10</definedName>
    <definedName name="LOANS_NUM">[4]Расчеты!$B$22</definedName>
    <definedName name="MAX_DURATION">[4]Расчеты!$B$41</definedName>
    <definedName name="MAX_SENS_OFFSET">[4]Расчеты!$B$44</definedName>
    <definedName name="Months">[3]G1!$C$7:$C$18</definedName>
    <definedName name="PART_CAPEX">[4]Данные!$A$86</definedName>
    <definedName name="PART_FINANCE">[4]Данные!$A$155</definedName>
    <definedName name="PART_GENEXP">[4]Данные!$A$117</definedName>
    <definedName name="PART_PARAMETER">[4]Данные!$A$1</definedName>
    <definedName name="PART_PERSONNEL">[4]Данные!$A$138</definedName>
    <definedName name="PART_SALES">[4]Данные!$A$103</definedName>
    <definedName name="PART_START">[4]Данные!$A$44</definedName>
    <definedName name="PART_TAXES">[4]Данные!$A$21</definedName>
    <definedName name="PERIOD_LEN">[5]Расчеты!$B$7</definedName>
    <definedName name="PERS_COUNT_1">[4]Расчеты!$B$51</definedName>
    <definedName name="PERS_COUNT_2">[4]Расчеты!$B$52</definedName>
    <definedName name="PERS_COUNT_3">[4]Расчеты!$B$53</definedName>
    <definedName name="Price_Esc">'[2]Data input'!$B$11</definedName>
    <definedName name="PRJ_DURATION">[5]Расчеты!$B$8</definedName>
    <definedName name="PRJ_NAME">[4]Данные!$A$4</definedName>
    <definedName name="Prod_1">'[2]Data input'!#REF!</definedName>
    <definedName name="Prod_2">'[2]Data input'!$A$24</definedName>
    <definedName name="prod_3">'[2]Data input'!$A$25</definedName>
    <definedName name="Prod_4">'[2]Data input'!#REF!</definedName>
    <definedName name="Prod_5">'[2]Data input'!#REF!</definedName>
    <definedName name="PROD_6">[4]Производство!$A$29</definedName>
    <definedName name="PROD_7">[4]Производство!$A$35</definedName>
    <definedName name="PROD_8">[4]Производство!$A$39</definedName>
    <definedName name="Prod_Year">'[2]Data input'!$B$7</definedName>
    <definedName name="PRODNUM_SELECTION">[4]Данные!$A$11</definedName>
    <definedName name="PRODUCTS_NUM">[4]Расчеты!$B$13</definedName>
    <definedName name="PROFIT_TAX">[4]Данные!$B$24</definedName>
    <definedName name="Project_Life">'[2]Data input'!$B$8</definedName>
    <definedName name="Rasmot">#REF!</definedName>
    <definedName name="Results">[7]Results!#REF!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ALARY_TAX">[4]Данные!$B$28</definedName>
    <definedName name="SALES_TAX">[4]Данные!$B$27</definedName>
    <definedName name="SHARES_NUM">[4]Расчеты!$B$23</definedName>
    <definedName name="Start_Year">'[2]Data input'!$B$6</definedName>
    <definedName name="STOCKS_PERIOD">[4]Данные!$B$38</definedName>
    <definedName name="Tablica1Структура_рабочих_мест_по_формам_собственности_и_по_видам_деятельности_созданных">#REF!</definedName>
    <definedName name="TOTAL_GEXP_ROW">[4]Данные!$A$136</definedName>
    <definedName name="VAT">[4]Данные!$B$25</definedName>
    <definedName name="VAT_REPAY">[4]Расчеты!$B$21</definedName>
    <definedName name="VRT_N">[8]G1!$D$32</definedName>
    <definedName name="WACC">[5]Данные!$B$46</definedName>
    <definedName name="Year">'[2]План пр-ва_1'!$C$4:$AF$4</definedName>
    <definedName name="А10">#REF!</definedName>
    <definedName name="а12">#REF!</definedName>
    <definedName name="А17">#REF!</definedName>
    <definedName name="А9">#REF!</definedName>
    <definedName name="аааа">#REF!</definedName>
    <definedName name="абду">#REF!</definedName>
    <definedName name="ав">#REF!</definedName>
    <definedName name="авлб">#REF!</definedName>
    <definedName name="Албина">#REF!</definedName>
    <definedName name="АП">#REF!</definedName>
    <definedName name="_xlnm.Database">#REF!</definedName>
    <definedName name="безгпбезпдз">#N/A</definedName>
    <definedName name="в">#N/A</definedName>
    <definedName name="В5">#REF!</definedName>
    <definedName name="ва">#REF!</definedName>
    <definedName name="вал">[9]Общая!$C$6</definedName>
    <definedName name="валовая">#REF!</definedName>
    <definedName name="вова">#REF!</definedName>
    <definedName name="Выручка_Внутр">'[10]План продаж'!$E$31:$AC$31</definedName>
    <definedName name="Выручка_Эксп">'[10]План продаж'!$E$20:$AC$20</definedName>
    <definedName name="галла_нархи">'[11]Фориш 2003'!$O$4</definedName>
    <definedName name="галлаааа">'[12]Фориш 2003'!$O$4</definedName>
    <definedName name="Год">'[10]План продаж'!$E$4:$AC$4</definedName>
    <definedName name="Год_эск">[10]Исходные1!$B$9</definedName>
    <definedName name="дата">[13]бд!$D$2</definedName>
    <definedName name="дИРЕКЦИЯ_ПО_СТР_ВУ_РЕГ.ВОДОПРОВОДОВ">#REF!</definedName>
    <definedName name="Доб_руды">'[2]Data input'!$B$20</definedName>
    <definedName name="долл">'[14]Исходные данные'!$B$15</definedName>
    <definedName name="долл.">'[15]Исходные данные'!$C$16</definedName>
    <definedName name="доллар">[16]c!$C$1</definedName>
    <definedName name="ЕСП">[17]ВВОД!$D$5</definedName>
    <definedName name="жалаб">#REF!</definedName>
    <definedName name="жиззсвод">#REF!</definedName>
    <definedName name="жура">#REF!</definedName>
    <definedName name="_xlnm.Print_Titles" localSheetId="0">'РеалВсего (с ТДЦ)'!$7:$9</definedName>
    <definedName name="_xlnm.Print_Titles">#REF!</definedName>
    <definedName name="Запрос1">#REF!</definedName>
    <definedName name="Изм_выручки">'[10]табл чувств'!$C$3</definedName>
    <definedName name="Изм_затрат">'[2]табл чувств'!$B$4</definedName>
    <definedName name="изм_затрат2">'[2]табл чувств'!#REF!</definedName>
    <definedName name="Изм_затрат3">'[2]табл чувств'!#REF!</definedName>
    <definedName name="Изм_Кап">'[10]табл чувств'!$C$5</definedName>
    <definedName name="Изм_цен">'[2]табл чувств'!$B$3</definedName>
    <definedName name="инвест_пер">[18]Общая!$C$10</definedName>
    <definedName name="исправленное">'[2]План продаж_1'!#REF!</definedName>
    <definedName name="кап.рем.эс">#REF!</definedName>
    <definedName name="капвлож">#REF!</definedName>
    <definedName name="кейс">#REF!</definedName>
    <definedName name="колич_выплат_1">#REF!</definedName>
    <definedName name="колич_выплат_2">[18]Кредит2!$F$8</definedName>
    <definedName name="коха">#REF!</definedName>
    <definedName name="кредит1">'[18]Источн финансир'!$B$13</definedName>
    <definedName name="Кредит2">#N/A</definedName>
    <definedName name="кредит3">'[18]Источн финансир'!$B$17</definedName>
    <definedName name="кредит4">'[18]Источн финансир'!$B$18</definedName>
    <definedName name="Курс">[19]Исходные1!$B$14</definedName>
    <definedName name="Кўрсаткичлар">#REF!</definedName>
    <definedName name="лд">#REF!</definedName>
    <definedName name="Массив_обл">[20]Массив!$B$9:$C$21</definedName>
    <definedName name="МАЪЛУМОТ">#REF!</definedName>
    <definedName name="минг">#REF!</definedName>
    <definedName name="мингча">#REF!</definedName>
    <definedName name="МФ">[2]Анализ!#REF!</definedName>
    <definedName name="МФ2">[2]Анализ!#REF!</definedName>
    <definedName name="Нач_Цена_Внутр">[10]Исходные1!$B$24</definedName>
    <definedName name="Нач_цена_Прод_1_Вн">'[2]Data input'!#REF!</definedName>
    <definedName name="Нач_цена_Прод_1_Э">'[2]Data input'!#REF!</definedName>
    <definedName name="Нач_цена_Прод_2_Вн">'[2]Data input'!$B$39</definedName>
    <definedName name="Нач_цена_Прод_2_Э">'[2]Data input'!$B$36</definedName>
    <definedName name="Нач_цена_Прод_3_Вн">'[2]Data input'!$B$40</definedName>
    <definedName name="Нач_цена_Прод_3_Э">'[2]Data input'!$B$37</definedName>
    <definedName name="Нач_цена_Прод_4_Вн">'[2]Data input'!#REF!</definedName>
    <definedName name="Нач_цена_Прод_4_Э">'[2]Data input'!#REF!</definedName>
    <definedName name="Нач_цена_Прод_5_Вн">'[2]Data input'!#REF!</definedName>
    <definedName name="Нач_цена_Прод_5_Э">'[2]Data input'!#REF!</definedName>
    <definedName name="Нач_Цена_эксп">[10]Исходные1!$B$23</definedName>
    <definedName name="нилуфар">#REF!</definedName>
    <definedName name="_xlnm.Print_Area" localSheetId="0">'РеалВсего (с ТДЦ)'!$A$4:$S$210</definedName>
    <definedName name="_xlnm.Print_Area">#REF!</definedName>
    <definedName name="Общий">#REF!</definedName>
    <definedName name="Объем_внутр">'[10]План продаж'!$E$16:$AC$16</definedName>
    <definedName name="Объем_эксп">'[10]План продаж'!$E$14:$AC$14</definedName>
    <definedName name="Объемивторой">#REF!</definedName>
    <definedName name="Объемииюль">#REF!</definedName>
    <definedName name="Объемисент">#REF!</definedName>
    <definedName name="Объемстор">#REF!</definedName>
    <definedName name="овкей">#REF!</definedName>
    <definedName name="олг">#REF!</definedName>
    <definedName name="оля">#REF!</definedName>
    <definedName name="п">[21]Массив!$B$9:$C$21</definedName>
    <definedName name="п1">'[14]Исходные данные'!$A$21</definedName>
    <definedName name="п2">'[14]Исходные данные'!$A$22</definedName>
    <definedName name="п3">'[14]Исходные данные'!$A$23</definedName>
    <definedName name="п4">'[14]Исходные данные'!$A$24</definedName>
    <definedName name="п5">'[14]Исходные данные'!$A$25</definedName>
    <definedName name="пол">#REF!</definedName>
    <definedName name="пор">#REF!</definedName>
    <definedName name="потоки">#N/A</definedName>
    <definedName name="пр">#REF!</definedName>
    <definedName name="про">'[22]уюшмага10,09 холатига'!#REF!</definedName>
    <definedName name="Произ_концентрата">'[2]Data input'!$B$21</definedName>
    <definedName name="прок">#REF!</definedName>
    <definedName name="пртпа">[23]G1!$C$7:$C$18</definedName>
    <definedName name="рек.эс">#REF!</definedName>
    <definedName name="_xlnm.Recorder">#REF!</definedName>
    <definedName name="с52">#REF!</definedName>
    <definedName name="свока">#REF!</definedName>
    <definedName name="себестоимость2">#REF!</definedName>
    <definedName name="сирье">#REF!</definedName>
    <definedName name="сокр">#N/A</definedName>
    <definedName name="Срок_Проекта">[19]Исходные1!$B$7</definedName>
    <definedName name="сс">#REF!</definedName>
    <definedName name="сто">#REF!</definedName>
    <definedName name="Сырье">#REF!</definedName>
    <definedName name="Ташкилий_чора_тадбирлар__номи_ва_ишлаб_чиўариладиганг_маҳсулот">#REF!</definedName>
    <definedName name="тога">#REF!</definedName>
    <definedName name="у">#REF!</definedName>
    <definedName name="УКС">#REF!</definedName>
    <definedName name="Фактывторой">#REF!</definedName>
    <definedName name="Фактыполу">#REF!</definedName>
    <definedName name="Фактысен">#REF!</definedName>
    <definedName name="ФРУО3">'[2]План продаж_1'!#REF!</definedName>
    <definedName name="фы">'[24]Фориш 2003'!$O$4</definedName>
    <definedName name="ц_п1">'[14]Исходные данные'!$B$53</definedName>
    <definedName name="Ц_п1_э">'[14]Исходные данные'!$B$46</definedName>
    <definedName name="ц_п2">'[14]Исходные данные'!$B$54</definedName>
    <definedName name="ц_п2_э">'[14]Исходные данные'!$B$47</definedName>
    <definedName name="ц_п3">'[14]Исходные данные'!$B$55</definedName>
    <definedName name="ц_п3_э">'[14]Исходные данные'!$B$48</definedName>
    <definedName name="ц_п4">'[14]Исходные данные'!$B$56</definedName>
    <definedName name="ц_п4_э">'[14]Исходные данные'!$B$49</definedName>
    <definedName name="ц_п5">'[14]Исходные данные'!$B$57</definedName>
    <definedName name="ц_п5_э">'[14]Исходные данные'!$B$50</definedName>
    <definedName name="ц_п6">'[14]Исходные данные'!$B$58</definedName>
    <definedName name="ц_п6_э">'[14]Исходные данные'!$B$51</definedName>
    <definedName name="Цена_внутр">'[10]План продаж'!$E$29:$AC$29</definedName>
    <definedName name="цена_п1">'[14]План продаж'!$C$32</definedName>
    <definedName name="цена_п1_э">'[14]План продаж'!$C$7</definedName>
    <definedName name="цена_п2">'[14]План продаж'!$C$33</definedName>
    <definedName name="цена_п2_э">'[14]План продаж'!$C$8</definedName>
    <definedName name="цена_п3">'[14]План продаж'!$C$34</definedName>
    <definedName name="цена_п3_э">'[14]План продаж'!$C$9</definedName>
    <definedName name="цена_п4">'[14]План продаж'!$C$35</definedName>
    <definedName name="цена_п4_э">'[14]План продаж'!$C$10</definedName>
    <definedName name="цена_п5">'[14]План продаж'!$C$36</definedName>
    <definedName name="цена_п5_э">'[14]План продаж'!$C$11</definedName>
    <definedName name="цена_п6">'[14]План продаж'!$C$37</definedName>
    <definedName name="цена_п6_э">'[14]План продаж'!$C$12</definedName>
    <definedName name="Цена_Прод_1_Вн">'[2]План продаж_1'!#REF!</definedName>
    <definedName name="Цена_Прод_1_Э">'[2]План продаж_1'!#REF!</definedName>
    <definedName name="Цена_Прод_2_Вн">'[2]План продаж_1'!$C$25:$AF$25</definedName>
    <definedName name="Цена_Прод_2_Э">'[2]План продаж_1'!$C$7:$AF$7</definedName>
    <definedName name="Цена_Прод_3_Вн">'[2]План продаж_1'!$C$26:$AF$26</definedName>
    <definedName name="Цена_Прод_3_Э">'[2]План продаж_1'!$C$8:$AF$8</definedName>
    <definedName name="Цена_Прод_4_Вн">'[2]План продаж_1'!#REF!</definedName>
    <definedName name="Цена_Прод_4_Э">'[2]План продаж_1'!#REF!</definedName>
    <definedName name="Цена_Прод_5_Вн">'[2]План продаж_1'!#REF!</definedName>
    <definedName name="Цена_Прод_5_Э">'[2]План продаж_1'!#REF!</definedName>
    <definedName name="Цена_Эксп">'[10]План продаж'!$E$18:$AC$18</definedName>
    <definedName name="ш.ж._счетчик__сиз">#REF!</definedName>
    <definedName name="шурик">#REF!</definedName>
    <definedName name="ыодлпфврж">#REF!</definedName>
    <definedName name="ыцвуц">#REF!</definedName>
    <definedName name="Эск_Затрат">[10]Исходные1!$B$11</definedName>
    <definedName name="Эск_Цен">[10]Исходные1!$B$10</definedName>
    <definedName name="ЭХА">#REF!</definedName>
    <definedName name="юб">#REF!</definedName>
    <definedName name="юю">#REF!</definedName>
  </definedNames>
  <calcPr calcId="144525"/>
</workbook>
</file>

<file path=xl/calcChain.xml><?xml version="1.0" encoding="utf-8"?>
<calcChain xmlns="http://schemas.openxmlformats.org/spreadsheetml/2006/main">
  <c r="H95" i="4" l="1"/>
  <c r="H177" i="4"/>
  <c r="H171" i="4"/>
  <c r="H169" i="4"/>
  <c r="H167" i="4" s="1"/>
  <c r="H143" i="4" s="1"/>
  <c r="H161" i="4"/>
  <c r="H152" i="4"/>
  <c r="H125" i="4"/>
  <c r="H107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1" i="4"/>
  <c r="H39" i="4"/>
  <c r="H38" i="4"/>
  <c r="H27" i="4"/>
  <c r="H23" i="4"/>
  <c r="H12" i="4"/>
  <c r="H11" i="4"/>
  <c r="I192" i="4" l="1"/>
  <c r="I191" i="4"/>
  <c r="I188" i="4"/>
  <c r="I187" i="4"/>
  <c r="I186" i="4"/>
  <c r="I185" i="4"/>
  <c r="I184" i="4"/>
  <c r="I183" i="4"/>
  <c r="I182" i="4"/>
  <c r="I179" i="4"/>
  <c r="I176" i="4"/>
  <c r="I175" i="4"/>
  <c r="I171" i="4"/>
  <c r="I170" i="4"/>
  <c r="I169" i="4"/>
  <c r="I168" i="4"/>
  <c r="I166" i="4"/>
  <c r="I165" i="4"/>
  <c r="I164" i="4"/>
  <c r="I163" i="4"/>
  <c r="I161" i="4"/>
  <c r="I160" i="4"/>
  <c r="I158" i="4"/>
  <c r="I157" i="4"/>
  <c r="I156" i="4"/>
  <c r="I155" i="4"/>
  <c r="I154" i="4"/>
  <c r="I151" i="4"/>
  <c r="I150" i="4"/>
  <c r="I149" i="4"/>
  <c r="I147" i="4"/>
  <c r="I144" i="4"/>
  <c r="I142" i="4"/>
  <c r="I140" i="4"/>
  <c r="I138" i="4"/>
  <c r="I137" i="4"/>
  <c r="I133" i="4"/>
  <c r="I134" i="4"/>
  <c r="I132" i="4"/>
  <c r="I131" i="4"/>
  <c r="I128" i="4"/>
  <c r="I127" i="4"/>
  <c r="I126" i="4"/>
  <c r="I123" i="4"/>
  <c r="I122" i="4"/>
  <c r="I121" i="4"/>
  <c r="I120" i="4"/>
  <c r="I118" i="4"/>
  <c r="I117" i="4"/>
  <c r="I111" i="4"/>
  <c r="I110" i="4"/>
  <c r="I109" i="4"/>
  <c r="I108" i="4"/>
  <c r="I104" i="4"/>
  <c r="I94" i="4"/>
  <c r="I103" i="4"/>
  <c r="I98" i="4"/>
  <c r="I101" i="4"/>
  <c r="I97" i="4"/>
  <c r="I96" i="4"/>
  <c r="I91" i="4"/>
  <c r="G171" i="4"/>
  <c r="G134" i="4"/>
  <c r="G120" i="4"/>
  <c r="G110" i="4"/>
  <c r="I81" i="4" l="1"/>
  <c r="I77" i="4"/>
  <c r="I75" i="4"/>
  <c r="I70" i="4"/>
  <c r="I69" i="4"/>
  <c r="I68" i="4"/>
  <c r="I67" i="4"/>
  <c r="I66" i="4"/>
  <c r="I65" i="4"/>
  <c r="I64" i="4"/>
  <c r="I63" i="4"/>
  <c r="I62" i="4"/>
  <c r="I48" i="4"/>
  <c r="I44" i="4"/>
  <c r="I43" i="4"/>
  <c r="I42" i="4"/>
  <c r="I37" i="4"/>
  <c r="I36" i="4"/>
  <c r="I35" i="4"/>
  <c r="I34" i="4"/>
  <c r="I31" i="4"/>
  <c r="I29" i="4"/>
  <c r="I28" i="4"/>
  <c r="I26" i="4"/>
  <c r="I25" i="4"/>
  <c r="I24" i="4"/>
  <c r="I22" i="4"/>
  <c r="I21" i="4"/>
  <c r="I20" i="4"/>
  <c r="I19" i="4"/>
  <c r="I18" i="4"/>
  <c r="I17" i="4"/>
  <c r="I16" i="4"/>
  <c r="I15" i="4"/>
  <c r="I14" i="4"/>
  <c r="I13" i="4"/>
  <c r="G75" i="4"/>
  <c r="G64" i="4"/>
  <c r="I177" i="4" l="1"/>
  <c r="I167" i="4"/>
  <c r="I162" i="4"/>
  <c r="I152" i="4"/>
  <c r="I143" i="4" s="1"/>
  <c r="I125" i="4"/>
  <c r="I119" i="4"/>
  <c r="I95" i="4"/>
  <c r="I90" i="4" s="1"/>
  <c r="H90" i="4"/>
  <c r="H89" i="4" s="1"/>
  <c r="H87" i="4"/>
  <c r="H86" i="4" s="1"/>
  <c r="I39" i="4"/>
  <c r="I61" i="4"/>
  <c r="I38" i="4" s="1"/>
  <c r="I30" i="4"/>
  <c r="I27" i="4"/>
  <c r="I23" i="4"/>
  <c r="I12" i="4"/>
  <c r="I11" i="4"/>
  <c r="I87" i="4" l="1"/>
  <c r="I86" i="4" s="1"/>
  <c r="I107" i="4"/>
  <c r="I89" i="4" s="1"/>
  <c r="B89" i="4"/>
  <c r="F154" i="4"/>
  <c r="D107" i="4"/>
  <c r="D154" i="4"/>
  <c r="D30" i="4"/>
  <c r="D25" i="4"/>
  <c r="F65" i="4" l="1"/>
  <c r="F61" i="4" s="1"/>
  <c r="F119" i="4"/>
  <c r="F171" i="4"/>
  <c r="F143" i="4"/>
  <c r="N144" i="4" s="1"/>
  <c r="F25" i="4"/>
  <c r="B137" i="4"/>
  <c r="G189" i="4" l="1"/>
  <c r="G125" i="4"/>
  <c r="G119" i="4"/>
  <c r="G27" i="4"/>
  <c r="F177" i="4"/>
  <c r="F125" i="4"/>
  <c r="F107" i="4" s="1"/>
  <c r="F90" i="4"/>
  <c r="E87" i="4"/>
  <c r="F39" i="4"/>
  <c r="G30" i="4"/>
  <c r="F30" i="4"/>
  <c r="F27" i="4"/>
  <c r="F23" i="4"/>
  <c r="F12" i="4"/>
  <c r="E171" i="4"/>
  <c r="E110" i="4"/>
  <c r="F89" i="4" l="1"/>
  <c r="F38" i="4"/>
  <c r="F87" i="4" s="1"/>
  <c r="F86" i="4" s="1"/>
  <c r="F11" i="4"/>
  <c r="G177" i="4"/>
  <c r="G167" i="4"/>
  <c r="G162" i="4"/>
  <c r="G152" i="4"/>
  <c r="G107" i="4"/>
  <c r="G95" i="4"/>
  <c r="G90" i="4" s="1"/>
  <c r="G61" i="4"/>
  <c r="G39" i="4"/>
  <c r="G23" i="4"/>
  <c r="G12" i="4"/>
  <c r="E134" i="4"/>
  <c r="E122" i="4"/>
  <c r="E119" i="4" s="1"/>
  <c r="G143" i="4" l="1"/>
  <c r="G89" i="4" s="1"/>
  <c r="G38" i="4"/>
  <c r="G11" i="4"/>
  <c r="G193" i="4"/>
  <c r="G196" i="4"/>
  <c r="G197" i="4"/>
  <c r="G195" i="4" s="1"/>
  <c r="G198" i="4"/>
  <c r="G199" i="4"/>
  <c r="G201" i="4"/>
  <c r="G87" i="4" l="1"/>
  <c r="G86" i="4" s="1"/>
  <c r="C190" i="4"/>
  <c r="C189" i="4"/>
  <c r="C181" i="4"/>
  <c r="C180" i="4"/>
  <c r="C178" i="4"/>
  <c r="C176" i="4"/>
  <c r="C174" i="4"/>
  <c r="C173" i="4"/>
  <c r="C172" i="4"/>
  <c r="C159" i="4"/>
  <c r="C153" i="4"/>
  <c r="C150" i="4"/>
  <c r="C148" i="4"/>
  <c r="C147" i="4"/>
  <c r="C146" i="4"/>
  <c r="C145" i="4"/>
  <c r="C141" i="4"/>
  <c r="C139" i="4"/>
  <c r="C138" i="4"/>
  <c r="C136" i="4"/>
  <c r="C130" i="4"/>
  <c r="C124" i="4"/>
  <c r="C116" i="4"/>
  <c r="C115" i="4"/>
  <c r="C114" i="4"/>
  <c r="C113" i="4"/>
  <c r="C112" i="4"/>
  <c r="C106" i="4"/>
  <c r="C105" i="4"/>
  <c r="C102" i="4"/>
  <c r="C100" i="4"/>
  <c r="C99" i="4"/>
  <c r="C94" i="4"/>
  <c r="C93" i="4"/>
  <c r="C92" i="4"/>
  <c r="C84" i="4"/>
  <c r="C82" i="4"/>
  <c r="C80" i="4"/>
  <c r="C78" i="4"/>
  <c r="C76" i="4"/>
  <c r="C74" i="4"/>
  <c r="C73" i="4"/>
  <c r="C72" i="4"/>
  <c r="C71" i="4"/>
  <c r="C70" i="4"/>
  <c r="C60" i="4"/>
  <c r="C59" i="4"/>
  <c r="C58" i="4"/>
  <c r="C57" i="4"/>
  <c r="C56" i="4"/>
  <c r="C55" i="4"/>
  <c r="C54" i="4"/>
  <c r="C53" i="4"/>
  <c r="C52" i="4"/>
  <c r="C51" i="4"/>
  <c r="C50" i="4"/>
  <c r="C49" i="4"/>
  <c r="C47" i="4"/>
  <c r="C46" i="4"/>
  <c r="C45" i="4"/>
  <c r="C41" i="4"/>
  <c r="C40" i="4"/>
  <c r="C33" i="4"/>
  <c r="C32" i="4"/>
  <c r="B149" i="4"/>
  <c r="B65" i="4"/>
  <c r="B64" i="4"/>
  <c r="C156" i="4"/>
  <c r="C191" i="4"/>
  <c r="C192" i="4"/>
  <c r="C188" i="4"/>
  <c r="C187" i="4"/>
  <c r="C186" i="4"/>
  <c r="C185" i="4"/>
  <c r="C184" i="4"/>
  <c r="C183" i="4"/>
  <c r="C182" i="4"/>
  <c r="C175" i="4"/>
  <c r="C135" i="4"/>
  <c r="C170" i="4"/>
  <c r="C171" i="4"/>
  <c r="C169" i="4"/>
  <c r="C166" i="4"/>
  <c r="C165" i="4"/>
  <c r="C164" i="4"/>
  <c r="C163" i="4"/>
  <c r="C161" i="4"/>
  <c r="C160" i="4"/>
  <c r="C158" i="4"/>
  <c r="C157" i="4"/>
  <c r="C155" i="4"/>
  <c r="C154" i="4"/>
  <c r="C151" i="4"/>
  <c r="C149" i="4"/>
  <c r="C144" i="4"/>
  <c r="C110" i="4"/>
  <c r="C140" i="4"/>
  <c r="C142" i="4"/>
  <c r="C137" i="4"/>
  <c r="C134" i="4"/>
  <c r="C129" i="4"/>
  <c r="C133" i="4"/>
  <c r="C132" i="4"/>
  <c r="C131" i="4"/>
  <c r="C128" i="4"/>
  <c r="C127" i="4"/>
  <c r="C126" i="4"/>
  <c r="C123" i="4"/>
  <c r="C122" i="4"/>
  <c r="C121" i="4"/>
  <c r="C118" i="4"/>
  <c r="C117" i="4"/>
  <c r="C111" i="4"/>
  <c r="C109" i="4"/>
  <c r="C108" i="4"/>
  <c r="C104" i="4"/>
  <c r="C103" i="4"/>
  <c r="C98" i="4"/>
  <c r="C101" i="4"/>
  <c r="C97" i="4"/>
  <c r="C96" i="4"/>
  <c r="C91" i="4"/>
  <c r="C81" i="4"/>
  <c r="M11" i="4"/>
  <c r="C68" i="4"/>
  <c r="C65" i="4"/>
  <c r="C64" i="4"/>
  <c r="C79" i="4"/>
  <c r="C83" i="4"/>
  <c r="C77" i="4"/>
  <c r="C75" i="4"/>
  <c r="C69" i="4"/>
  <c r="C67" i="4"/>
  <c r="C66" i="4"/>
  <c r="C63" i="4"/>
  <c r="C62" i="4"/>
  <c r="C48" i="4"/>
  <c r="C44" i="4"/>
  <c r="C43" i="4"/>
  <c r="C42" i="4"/>
  <c r="E39" i="4"/>
  <c r="C39" i="4" s="1"/>
  <c r="C37" i="4"/>
  <c r="C36" i="4"/>
  <c r="C35" i="4"/>
  <c r="C34" i="4"/>
  <c r="C29" i="4"/>
  <c r="C28" i="4"/>
  <c r="C26" i="4"/>
  <c r="C25" i="4"/>
  <c r="C24" i="4"/>
  <c r="C22" i="4"/>
  <c r="C21" i="4"/>
  <c r="C20" i="4"/>
  <c r="C19" i="4"/>
  <c r="C18" i="4"/>
  <c r="C17" i="4"/>
  <c r="C16" i="4"/>
  <c r="C15" i="4"/>
  <c r="C14" i="4"/>
  <c r="C13" i="4"/>
  <c r="G200" i="4" l="1"/>
  <c r="G202" i="4" s="1"/>
  <c r="E30" i="4"/>
  <c r="C30" i="4" s="1"/>
  <c r="C31" i="4"/>
  <c r="C119" i="4"/>
  <c r="C120" i="4"/>
  <c r="E167" i="4"/>
  <c r="C167" i="4" s="1"/>
  <c r="C168" i="4"/>
  <c r="E177" i="4"/>
  <c r="C177" i="4" s="1"/>
  <c r="C179" i="4"/>
  <c r="E95" i="4"/>
  <c r="C95" i="4" s="1"/>
  <c r="E27" i="4"/>
  <c r="C27" i="4" s="1"/>
  <c r="E61" i="4"/>
  <c r="C61" i="4" s="1"/>
  <c r="E162" i="4"/>
  <c r="C162" i="4" s="1"/>
  <c r="E152" i="4"/>
  <c r="C152" i="4" s="1"/>
  <c r="E125" i="4"/>
  <c r="E90" i="4"/>
  <c r="C90" i="4" s="1"/>
  <c r="E12" i="4"/>
  <c r="E23" i="4"/>
  <c r="C23" i="4" s="1"/>
  <c r="K201" i="4"/>
  <c r="I201" i="4"/>
  <c r="D201" i="4"/>
  <c r="K199" i="4"/>
  <c r="I199" i="4"/>
  <c r="D199" i="4"/>
  <c r="K198" i="4"/>
  <c r="I198" i="4"/>
  <c r="D198" i="4"/>
  <c r="K197" i="4"/>
  <c r="I197" i="4"/>
  <c r="D197" i="4"/>
  <c r="K196" i="4"/>
  <c r="I196" i="4"/>
  <c r="D196" i="4"/>
  <c r="K193" i="4"/>
  <c r="I193" i="4"/>
  <c r="D193" i="4"/>
  <c r="D192" i="4"/>
  <c r="B192" i="4" s="1"/>
  <c r="D191" i="4"/>
  <c r="B191" i="4" s="1"/>
  <c r="D190" i="4"/>
  <c r="B190" i="4" s="1"/>
  <c r="D189" i="4"/>
  <c r="B189" i="4" s="1"/>
  <c r="D188" i="4"/>
  <c r="B188" i="4" s="1"/>
  <c r="D187" i="4"/>
  <c r="B187" i="4" s="1"/>
  <c r="D186" i="4"/>
  <c r="B186" i="4" s="1"/>
  <c r="D185" i="4"/>
  <c r="B185" i="4" s="1"/>
  <c r="D184" i="4"/>
  <c r="B184" i="4" s="1"/>
  <c r="D183" i="4"/>
  <c r="B183" i="4" s="1"/>
  <c r="D182" i="4"/>
  <c r="B182" i="4" s="1"/>
  <c r="D181" i="4"/>
  <c r="B181" i="4" s="1"/>
  <c r="D180" i="4"/>
  <c r="B180" i="4" s="1"/>
  <c r="D179" i="4"/>
  <c r="B179" i="4" s="1"/>
  <c r="D178" i="4"/>
  <c r="B178" i="4" s="1"/>
  <c r="D176" i="4"/>
  <c r="B176" i="4" s="1"/>
  <c r="D175" i="4"/>
  <c r="B175" i="4" s="1"/>
  <c r="D174" i="4"/>
  <c r="B174" i="4" s="1"/>
  <c r="D173" i="4"/>
  <c r="B173" i="4" s="1"/>
  <c r="D172" i="4"/>
  <c r="B172" i="4" s="1"/>
  <c r="B171" i="4"/>
  <c r="B170" i="4"/>
  <c r="B169" i="4"/>
  <c r="B168" i="4"/>
  <c r="B167" i="4"/>
  <c r="D166" i="4"/>
  <c r="B166" i="4" s="1"/>
  <c r="D165" i="4"/>
  <c r="B165" i="4" s="1"/>
  <c r="B164" i="4"/>
  <c r="B163" i="4"/>
  <c r="D161" i="4"/>
  <c r="B161" i="4" s="1"/>
  <c r="D160" i="4"/>
  <c r="B160" i="4" s="1"/>
  <c r="B159" i="4"/>
  <c r="D158" i="4"/>
  <c r="B158" i="4" s="1"/>
  <c r="D157" i="4"/>
  <c r="B157" i="4" s="1"/>
  <c r="B156" i="4"/>
  <c r="B155" i="4"/>
  <c r="B154" i="4"/>
  <c r="D153" i="4"/>
  <c r="B153" i="4" s="1"/>
  <c r="D151" i="4"/>
  <c r="B151" i="4" s="1"/>
  <c r="D150" i="4"/>
  <c r="B150" i="4" s="1"/>
  <c r="B148" i="4"/>
  <c r="B147" i="4"/>
  <c r="D146" i="4"/>
  <c r="B146" i="4" s="1"/>
  <c r="D145" i="4"/>
  <c r="B145" i="4" s="1"/>
  <c r="D144" i="4"/>
  <c r="B144" i="4" s="1"/>
  <c r="D142" i="4"/>
  <c r="B142" i="4" s="1"/>
  <c r="D141" i="4"/>
  <c r="B141" i="4" s="1"/>
  <c r="D140" i="4"/>
  <c r="B140" i="4" s="1"/>
  <c r="D139" i="4"/>
  <c r="B139" i="4" s="1"/>
  <c r="D138" i="4"/>
  <c r="B138" i="4" s="1"/>
  <c r="D137" i="4"/>
  <c r="D136" i="4"/>
  <c r="B136" i="4" s="1"/>
  <c r="D135" i="4"/>
  <c r="B135" i="4" s="1"/>
  <c r="D134" i="4"/>
  <c r="B134" i="4" s="1"/>
  <c r="D133" i="4"/>
  <c r="B133" i="4" s="1"/>
  <c r="B132" i="4"/>
  <c r="D131" i="4"/>
  <c r="B131" i="4" s="1"/>
  <c r="D130" i="4"/>
  <c r="B130" i="4" s="1"/>
  <c r="D129" i="4"/>
  <c r="B129" i="4" s="1"/>
  <c r="D128" i="4"/>
  <c r="B128" i="4" s="1"/>
  <c r="B127" i="4"/>
  <c r="B126" i="4"/>
  <c r="D124" i="4"/>
  <c r="B124" i="4" s="1"/>
  <c r="D123" i="4"/>
  <c r="B123" i="4" s="1"/>
  <c r="D122" i="4"/>
  <c r="B122" i="4" s="1"/>
  <c r="D121" i="4"/>
  <c r="B121" i="4" s="1"/>
  <c r="D120" i="4"/>
  <c r="B120" i="4" s="1"/>
  <c r="B118" i="4"/>
  <c r="D117" i="4"/>
  <c r="B117" i="4" s="1"/>
  <c r="B116" i="4"/>
  <c r="D115" i="4"/>
  <c r="B115" i="4" s="1"/>
  <c r="D114" i="4"/>
  <c r="B114" i="4" s="1"/>
  <c r="D113" i="4"/>
  <c r="B113" i="4" s="1"/>
  <c r="B112" i="4"/>
  <c r="D111" i="4"/>
  <c r="B111" i="4" s="1"/>
  <c r="B110" i="4"/>
  <c r="B109" i="4"/>
  <c r="B108" i="4"/>
  <c r="D106" i="4"/>
  <c r="B106" i="4" s="1"/>
  <c r="D105" i="4"/>
  <c r="B105" i="4" s="1"/>
  <c r="D104" i="4"/>
  <c r="B104" i="4" s="1"/>
  <c r="D103" i="4"/>
  <c r="B103" i="4" s="1"/>
  <c r="D102" i="4"/>
  <c r="B102" i="4" s="1"/>
  <c r="D101" i="4"/>
  <c r="B101" i="4" s="1"/>
  <c r="D100" i="4"/>
  <c r="B100" i="4" s="1"/>
  <c r="D99" i="4"/>
  <c r="B99" i="4" s="1"/>
  <c r="D98" i="4"/>
  <c r="B98" i="4" s="1"/>
  <c r="D97" i="4"/>
  <c r="B97" i="4" s="1"/>
  <c r="D96" i="4"/>
  <c r="B96" i="4" s="1"/>
  <c r="D94" i="4"/>
  <c r="B94" i="4" s="1"/>
  <c r="D93" i="4"/>
  <c r="B93" i="4" s="1"/>
  <c r="D92" i="4"/>
  <c r="B92" i="4" s="1"/>
  <c r="D91" i="4"/>
  <c r="B91" i="4" s="1"/>
  <c r="D84" i="4"/>
  <c r="B84" i="4" s="1"/>
  <c r="D83" i="4"/>
  <c r="B83" i="4" s="1"/>
  <c r="D82" i="4"/>
  <c r="B82" i="4" s="1"/>
  <c r="D81" i="4"/>
  <c r="B81" i="4" s="1"/>
  <c r="D80" i="4"/>
  <c r="B80" i="4" s="1"/>
  <c r="D79" i="4"/>
  <c r="B79" i="4" s="1"/>
  <c r="D78" i="4"/>
  <c r="B78" i="4" s="1"/>
  <c r="D76" i="4"/>
  <c r="B76" i="4" s="1"/>
  <c r="D75" i="4"/>
  <c r="B75" i="4" s="1"/>
  <c r="D74" i="4"/>
  <c r="B74" i="4" s="1"/>
  <c r="D73" i="4"/>
  <c r="B73" i="4" s="1"/>
  <c r="D72" i="4"/>
  <c r="B72" i="4" s="1"/>
  <c r="D71" i="4"/>
  <c r="B71" i="4" s="1"/>
  <c r="D70" i="4"/>
  <c r="B70" i="4" s="1"/>
  <c r="D69" i="4"/>
  <c r="B69" i="4" s="1"/>
  <c r="D68" i="4"/>
  <c r="B68" i="4" s="1"/>
  <c r="D67" i="4"/>
  <c r="B67" i="4" s="1"/>
  <c r="D66" i="4"/>
  <c r="B66" i="4" s="1"/>
  <c r="D63" i="4"/>
  <c r="B63" i="4" s="1"/>
  <c r="D62" i="4"/>
  <c r="B62" i="4" s="1"/>
  <c r="D60" i="4"/>
  <c r="B60" i="4" s="1"/>
  <c r="D59" i="4"/>
  <c r="B59" i="4" s="1"/>
  <c r="D57" i="4"/>
  <c r="B57" i="4" s="1"/>
  <c r="D56" i="4"/>
  <c r="B56" i="4" s="1"/>
  <c r="D55" i="4"/>
  <c r="B55" i="4" s="1"/>
  <c r="D54" i="4"/>
  <c r="B54" i="4" s="1"/>
  <c r="D53" i="4"/>
  <c r="B53" i="4" s="1"/>
  <c r="D52" i="4"/>
  <c r="B52" i="4" s="1"/>
  <c r="D51" i="4"/>
  <c r="B51" i="4" s="1"/>
  <c r="D49" i="4"/>
  <c r="B49" i="4" s="1"/>
  <c r="B48" i="4"/>
  <c r="D47" i="4"/>
  <c r="B47" i="4" s="1"/>
  <c r="D46" i="4"/>
  <c r="B46" i="4" s="1"/>
  <c r="D45" i="4"/>
  <c r="B45" i="4" s="1"/>
  <c r="D44" i="4"/>
  <c r="B44" i="4" s="1"/>
  <c r="D43" i="4"/>
  <c r="B43" i="4" s="1"/>
  <c r="D42" i="4"/>
  <c r="B42" i="4" s="1"/>
  <c r="D41" i="4"/>
  <c r="B41" i="4" s="1"/>
  <c r="D40" i="4"/>
  <c r="B40" i="4" s="1"/>
  <c r="D37" i="4"/>
  <c r="B37" i="4" s="1"/>
  <c r="D36" i="4"/>
  <c r="B36" i="4" s="1"/>
  <c r="B35" i="4"/>
  <c r="B34" i="4"/>
  <c r="D33" i="4"/>
  <c r="B33" i="4" s="1"/>
  <c r="D32" i="4"/>
  <c r="B32" i="4" s="1"/>
  <c r="B31" i="4"/>
  <c r="B30" i="4"/>
  <c r="B29" i="4"/>
  <c r="D28" i="4"/>
  <c r="D26" i="4"/>
  <c r="B26" i="4" s="1"/>
  <c r="B25" i="4"/>
  <c r="D24" i="4"/>
  <c r="D22" i="4"/>
  <c r="B22" i="4" s="1"/>
  <c r="D21" i="4"/>
  <c r="B21" i="4" s="1"/>
  <c r="D20" i="4"/>
  <c r="B20" i="4" s="1"/>
  <c r="D19" i="4"/>
  <c r="B19" i="4" s="1"/>
  <c r="B18" i="4"/>
  <c r="B17" i="4"/>
  <c r="B16" i="4"/>
  <c r="D15" i="4"/>
  <c r="B15" i="4" s="1"/>
  <c r="D14" i="4"/>
  <c r="B14" i="4" s="1"/>
  <c r="D13" i="4"/>
  <c r="B13" i="4" s="1"/>
  <c r="D27" i="4" l="1"/>
  <c r="B27" i="4" s="1"/>
  <c r="B28" i="4"/>
  <c r="E38" i="4"/>
  <c r="C38" i="4" s="1"/>
  <c r="E11" i="4"/>
  <c r="C11" i="4" s="1"/>
  <c r="C12" i="4"/>
  <c r="E107" i="4"/>
  <c r="C107" i="4" s="1"/>
  <c r="C125" i="4"/>
  <c r="D23" i="4"/>
  <c r="B23" i="4" s="1"/>
  <c r="B24" i="4"/>
  <c r="E143" i="4"/>
  <c r="C198" i="4"/>
  <c r="C196" i="4"/>
  <c r="I195" i="4"/>
  <c r="C197" i="4"/>
  <c r="D95" i="4"/>
  <c r="D50" i="4"/>
  <c r="B50" i="4" s="1"/>
  <c r="N107" i="4"/>
  <c r="C193" i="4"/>
  <c r="D195" i="4"/>
  <c r="K195" i="4"/>
  <c r="C201" i="4"/>
  <c r="D125" i="4"/>
  <c r="B125" i="4" s="1"/>
  <c r="D152" i="4"/>
  <c r="B152" i="4" s="1"/>
  <c r="N143" i="4"/>
  <c r="D12" i="4"/>
  <c r="B12" i="4" s="1"/>
  <c r="D39" i="4"/>
  <c r="B39" i="4" s="1"/>
  <c r="D58" i="4"/>
  <c r="B58" i="4" s="1"/>
  <c r="D77" i="4"/>
  <c r="D119" i="4"/>
  <c r="B119" i="4" s="1"/>
  <c r="D162" i="4"/>
  <c r="B162" i="4" s="1"/>
  <c r="D177" i="4"/>
  <c r="B177" i="4" s="1"/>
  <c r="C199" i="4"/>
  <c r="E86" i="4" l="1"/>
  <c r="D90" i="4"/>
  <c r="B90" i="4" s="1"/>
  <c r="B95" i="4"/>
  <c r="E89" i="4"/>
  <c r="C89" i="4" s="1"/>
  <c r="C143" i="4"/>
  <c r="D61" i="4"/>
  <c r="B61" i="4" s="1"/>
  <c r="B77" i="4"/>
  <c r="D143" i="4"/>
  <c r="B143" i="4" s="1"/>
  <c r="C195" i="4"/>
  <c r="M143" i="4"/>
  <c r="O143" i="4"/>
  <c r="O107" i="4"/>
  <c r="M107" i="4"/>
  <c r="B107" i="4"/>
  <c r="D11" i="4"/>
  <c r="B11" i="4" s="1"/>
  <c r="C87" i="4" l="1"/>
  <c r="D38" i="4"/>
  <c r="C86" i="4"/>
  <c r="D89" i="4"/>
  <c r="R107" i="4"/>
  <c r="K200" i="4"/>
  <c r="K202" i="4" s="1"/>
  <c r="I200" i="4"/>
  <c r="D87" i="4" l="1"/>
  <c r="D86" i="4" s="1"/>
  <c r="B86" i="4" s="1"/>
  <c r="B38" i="4"/>
  <c r="I202" i="4"/>
  <c r="B87" i="4" l="1"/>
  <c r="D200" i="4"/>
  <c r="D202" i="4" l="1"/>
  <c r="C202" i="4" s="1"/>
  <c r="M199" i="4"/>
  <c r="C200" i="4"/>
</calcChain>
</file>

<file path=xl/sharedStrings.xml><?xml version="1.0" encoding="utf-8"?>
<sst xmlns="http://schemas.openxmlformats.org/spreadsheetml/2006/main" count="577" uniqueCount="376">
  <si>
    <t>3 кв.</t>
  </si>
  <si>
    <t>4 кв.</t>
  </si>
  <si>
    <t xml:space="preserve">         в т.ч., собственный транспорт</t>
  </si>
  <si>
    <t xml:space="preserve">                - зарплата</t>
  </si>
  <si>
    <t xml:space="preserve">                - отчисления на соцстрах</t>
  </si>
  <si>
    <t xml:space="preserve">                - ГСМ</t>
  </si>
  <si>
    <t xml:space="preserve">                - запчасти через УМТС</t>
  </si>
  <si>
    <t xml:space="preserve">                - материалы</t>
  </si>
  <si>
    <t xml:space="preserve">                - амортизация</t>
  </si>
  <si>
    <t xml:space="preserve">                - текущая аренда</t>
  </si>
  <si>
    <t xml:space="preserve">     Сторонний транспорт</t>
  </si>
  <si>
    <t xml:space="preserve">                - АТП-29</t>
  </si>
  <si>
    <t xml:space="preserve">  в т.ч.      - Автокумир</t>
  </si>
  <si>
    <t xml:space="preserve">   Производственная себестоимость</t>
  </si>
  <si>
    <t xml:space="preserve">   Себестоимостьтоварной.продукции</t>
  </si>
  <si>
    <t>не трогать!!!!!</t>
  </si>
  <si>
    <t>не трогать</t>
  </si>
  <si>
    <t>2.3.8.1. Компенсац. выплаты по решению Правит. Руз</t>
  </si>
  <si>
    <t>2.3.8.6. Оплата доп.отпуска женщ. имеющ. более 1 реб.</t>
  </si>
  <si>
    <t>Расходы по финансовой деятельности</t>
  </si>
  <si>
    <t xml:space="preserve">   - процент за кредит</t>
  </si>
  <si>
    <t xml:space="preserve">   - курсовая разница</t>
  </si>
  <si>
    <t xml:space="preserve">   - выпуск и распространение ценных бумаг</t>
  </si>
  <si>
    <t>Балансовая Прибыль</t>
  </si>
  <si>
    <t>Чистая  выручка</t>
  </si>
  <si>
    <t>НДС</t>
  </si>
  <si>
    <t>Стоимость  реализованной  продукции</t>
  </si>
  <si>
    <t xml:space="preserve">Начальник управления экономического анализа и </t>
  </si>
  <si>
    <t>прогнозирования</t>
  </si>
  <si>
    <t>Р.А. Губайдуллин</t>
  </si>
  <si>
    <t>Начальник ОЭАиП</t>
  </si>
  <si>
    <t>А.Н. Умаров</t>
  </si>
  <si>
    <t>Исп. Шарипова Ш.Ч.</t>
  </si>
  <si>
    <t>HISOBOT</t>
  </si>
  <si>
    <t>1.1. Materiallarni ishlab chiqarish xarajatlari</t>
  </si>
  <si>
    <t>1.1.2. Yordamchi materiallar</t>
  </si>
  <si>
    <t xml:space="preserve">    yogoch materiallari</t>
  </si>
  <si>
    <t xml:space="preserve">     portlovchi  moddalar</t>
  </si>
  <si>
    <t xml:space="preserve">    portlovchi materiallar va boshqa portlash vositalari</t>
  </si>
  <si>
    <t xml:space="preserve">      UMTS orqali ehtiyot qismlar</t>
  </si>
  <si>
    <t xml:space="preserve">     RGTO ehtiyot qismlari</t>
  </si>
  <si>
    <t xml:space="preserve">     kechiktirilgan xarajatlar</t>
  </si>
  <si>
    <t xml:space="preserve">      Boshqa materiallar</t>
  </si>
  <si>
    <t xml:space="preserve">     RGTO dan boshqa materiallar</t>
  </si>
  <si>
    <t xml:space="preserve">     xomashyo</t>
  </si>
  <si>
    <t xml:space="preserve">   ballast</t>
  </si>
  <si>
    <t>1.1.4.Ishlab chiqarish xizmatlari</t>
  </si>
  <si>
    <t xml:space="preserve">      Kon qatlamini ochish xizmatlari (GRT)</t>
  </si>
  <si>
    <t xml:space="preserve">     boshqa  xizmatlar</t>
  </si>
  <si>
    <t>1.1.5.Suv uchun to'lov</t>
  </si>
  <si>
    <t>1.1.6.Yoqilg'i</t>
  </si>
  <si>
    <t xml:space="preserve">          yoqilg'i va moylash materiallari</t>
  </si>
  <si>
    <t xml:space="preserve">         PTN  ko'mir</t>
  </si>
  <si>
    <t>1.1.7. Energiya</t>
  </si>
  <si>
    <t xml:space="preserve">       - elektr energiyasi</t>
  </si>
  <si>
    <t>1.2. Ish haqi</t>
  </si>
  <si>
    <t>1.3. Yagona ijtimoiy to'lov</t>
  </si>
  <si>
    <t>1.4. Amortizatsiya</t>
  </si>
  <si>
    <t>1.4. Nomoddiy aktivlarning amortizatsiyasi</t>
  </si>
  <si>
    <t>1.5. Boshqa ishlab chiqarish xarajatlari</t>
  </si>
  <si>
    <t xml:space="preserve">    texnik nazorat xizmati</t>
  </si>
  <si>
    <t xml:space="preserve">  milliy gvardiya qo'riqchisi</t>
  </si>
  <si>
    <t xml:space="preserve">    yong'in bo'limi</t>
  </si>
  <si>
    <t xml:space="preserve">    VGSCH xizmatlari</t>
  </si>
  <si>
    <t xml:space="preserve">  sertifikatlash xarajatlari</t>
  </si>
  <si>
    <t>radiologik tadqiqotlar</t>
  </si>
  <si>
    <t xml:space="preserve">    dezinfektsiyalovchi binolar va dezinfeksiya</t>
  </si>
  <si>
    <t xml:space="preserve">    ekologik fondlar xarajatlar</t>
  </si>
  <si>
    <t xml:space="preserve">    Xodimlarni tashish bilan bog'liq xarajatlar:</t>
  </si>
  <si>
    <t>Filiallar bo'yicha boshqa xarajatlar</t>
  </si>
  <si>
    <t xml:space="preserve">    regress da'vosi</t>
  </si>
  <si>
    <t xml:space="preserve">   komandirovka xarajatlari</t>
  </si>
  <si>
    <t xml:space="preserve">    maxsus sut</t>
  </si>
  <si>
    <t>tibbiy  yordam  xarajatlari</t>
  </si>
  <si>
    <t xml:space="preserve">   ishchilarni sug'urta qilish</t>
  </si>
  <si>
    <t xml:space="preserve">    tibbiy ko'rikdan o'tish</t>
  </si>
  <si>
    <t xml:space="preserve">   asosiy ishlab chiqarish chikarish fondlarini ish holatida saklash harajatlari</t>
  </si>
  <si>
    <t xml:space="preserve">  ish joylarini baholash</t>
  </si>
  <si>
    <t>Transport sug'urtasi</t>
  </si>
  <si>
    <t xml:space="preserve">   mehnatni muhofaza qilish va xavfsizlik</t>
  </si>
  <si>
    <t xml:space="preserve"> 1.5.7. Majburiy sertifikatlash uchun xarajatlar
                           mahsulotlar (xizmatlar)</t>
  </si>
  <si>
    <t xml:space="preserve">                     texnik ko'rik</t>
  </si>
  <si>
    <t xml:space="preserve"> aloqa vazirligi korxonalarining xizmatlari</t>
  </si>
  <si>
    <t>2. Davr xarajatlari</t>
  </si>
  <si>
    <t>2.1. Sotish xarajatlari</t>
  </si>
  <si>
    <t>2.1.1.Qadoqlash, saqlash, tashish xarajatlari.</t>
  </si>
  <si>
    <t>2.1.4. Boshqa savdo xarajatlari</t>
  </si>
  <si>
    <t xml:space="preserve">           - vositachilik haqi</t>
  </si>
  <si>
    <t xml:space="preserve">            - RTSB xizmatlari</t>
  </si>
  <si>
    <t xml:space="preserve">          - amortizatsiya</t>
  </si>
  <si>
    <t xml:space="preserve">            - bino ijarasi</t>
  </si>
  <si>
    <t xml:space="preserve">           - elektr energiyasi</t>
  </si>
  <si>
    <t xml:space="preserve">           - boshqa</t>
  </si>
  <si>
    <t xml:space="preserve">            - maxsus gidrometeorologik yordam</t>
  </si>
  <si>
    <t xml:space="preserve">             O'zbekekspertiza</t>
  </si>
  <si>
    <t>2.2. Ma'muriy xarajatlar</t>
  </si>
  <si>
    <t>2.2.1. Mehnat xarajatlari</t>
  </si>
  <si>
    <t>2.2.2. Yagona ijtimoiy to'lov</t>
  </si>
  <si>
    <t>2.2.4. Tashkilot va boshqaruv xarajatlari</t>
  </si>
  <si>
    <t>2.2.3.Xizmatkor avtomobillar avtotr. va mikroavtobus</t>
  </si>
  <si>
    <t>2.2.5. Kantselyariya, tipografik  xarajatlar</t>
  </si>
  <si>
    <t>2.2.6. Aloqa, signalizatsiya, kompyuter axborot markazlarining tarkibi,
          Ishlab chiqarish bilan bog'liq bo'lmagan NTI uylari va boshqalar</t>
  </si>
  <si>
    <t>2.2.7. Ko'rsatilgan xizmatlar uchun aloqa markazlariga to'lov</t>
  </si>
  <si>
    <t xml:space="preserve">   - Internet</t>
  </si>
  <si>
    <t xml:space="preserve">  - uyali  aloqa</t>
  </si>
  <si>
    <t xml:space="preserve">  - aloqa tugunlari uchun to'lov</t>
  </si>
  <si>
    <t>2.2.8. Uzoq va xalqaro muzokaralar  xarajatlari</t>
  </si>
  <si>
    <t>2.2.9. Binolar va binolarni ijaraga berish. admin uchun ehtiyojlari</t>
  </si>
  <si>
    <t xml:space="preserve">  - mehnat xarajatlari</t>
  </si>
  <si>
    <t xml:space="preserve"> - yagona ijtimoiy to'lov</t>
  </si>
  <si>
    <t xml:space="preserve">  - amortizatsiya</t>
  </si>
  <si>
    <t xml:space="preserve">  - kommunal stansiyaga texnik xizmat ko'rsatish va ta'mirlash (ses, axlatni tozalash, issiqlik ta'minoti, isitish tizimini ta'mirlash)</t>
  </si>
  <si>
    <t xml:space="preserve">      shu jumladan: adminni kapital ta'mirlash. Bino</t>
  </si>
  <si>
    <t xml:space="preserve">  - suv</t>
  </si>
  <si>
    <t xml:space="preserve">   - elektr energiyasi</t>
  </si>
  <si>
    <t xml:space="preserve">   - sanoat texnik ehtiyojlari uchun ko'mirni isitish</t>
  </si>
  <si>
    <t xml:space="preserve">  - boshqa</t>
  </si>
  <si>
    <t xml:space="preserve">   - 3-sonli yotoqxona</t>
  </si>
  <si>
    <t xml:space="preserve">  - ma'muriy bino</t>
  </si>
  <si>
    <t>2.2.11. Xodimlarni sug'urta qilish</t>
  </si>
  <si>
    <t>2.2.10. Ishonchli boshqaruvni ta'minlash uchun badallar</t>
  </si>
  <si>
    <t>2.2.14. Ko'ngilochar xarajatlar</t>
  </si>
  <si>
    <t>2.2.16. Xizmat va foydalanish bilan bog'liq joriy xarajatlar
          ekologik fondlar. bilan bog'liq bo'lmagan  ishlab chiqarish xarajatlar</t>
  </si>
  <si>
    <t>2.2.17. Inventarizatsiya va uy-ro'zg'or buyumlarini hisobdan chiqarish xarajatlari.</t>
  </si>
  <si>
    <t>2.3. Boshqa operatsion xarajatlar</t>
  </si>
  <si>
    <t>2.3.1. Kadrlarni tayyorlash va qayta tayyorlash xarajatlari</t>
  </si>
  <si>
    <t>2.3.3. Maslahat uchun to'lov va axborot xizmatlari</t>
  </si>
  <si>
    <t>2.3.4. Audit xizmatlari uchun to'lov</t>
  </si>
  <si>
    <t>2.3.8. Kompensatsiya to'lovlari:</t>
  </si>
  <si>
    <t>2.3.8.2. Bir marta ish staji uchun mukofotlar, mukofotlar va to'lovlar, shu jumladan natura. to'lovlar</t>
  </si>
  <si>
    <t xml:space="preserve">            shu jumladan yagona ijtimoiy to'lov</t>
  </si>
  <si>
    <t>2.3.8.4. Vaqtinchalik bo'lsa, qo'shimcha to'lovlar. mehnat qobiliyatini yo'qotish
             qonun bilan belgilangan haqiqiy daromad</t>
  </si>
  <si>
    <t>2.3.8.5. Asosiy ish haqi ish joyi, ishchi
             va trening davomida maxsus. ishlab chiqarish liniyasidan bo'shliq bilan</t>
  </si>
  <si>
    <t>2.3.9. To'lov va xarajatlar hisobga olinmaydi. yig'ish paytida. ish haqi</t>
  </si>
  <si>
    <t xml:space="preserve">2.3.9.1. 2 yoshgacha bo'lgan bola  parvarish nafaqasini to'lash
             </t>
  </si>
  <si>
    <t xml:space="preserve">2.3.9.2. Pensiyaga qo'shimchalar, bir martalik nafaqalar
             </t>
  </si>
  <si>
    <t>2.3.10. Sog'liqni saqlash muassasalari, qariyalar uylari, bolalar bog'chalari, uy-joy fondini saqlash</t>
  </si>
  <si>
    <t xml:space="preserve">          - "Koinot" bolalar oromgohi</t>
  </si>
  <si>
    <t>2.3.14. Bank va depozitariy xizmatlar uchun to'lov</t>
  </si>
  <si>
    <t>2.3.15. Atrof-muhitga, sog'likka qo'shgan hissasi. va boshqa fondlar</t>
  </si>
  <si>
    <t>- issiqlik energiyasi</t>
  </si>
  <si>
    <t xml:space="preserve">       - energiyaning boshqa turlari</t>
  </si>
  <si>
    <t xml:space="preserve"> Uyushma tomonidan markazlashtirilgan xarajatlar</t>
  </si>
  <si>
    <t xml:space="preserve">   summani hisobdan chiqarish bilan bog'liq xarajatlar
    nomoddiy aktivlar (gudvil)</t>
  </si>
  <si>
    <t>geologik tadqiqot</t>
  </si>
  <si>
    <t xml:space="preserve">                       standartlashtirish</t>
  </si>
  <si>
    <t xml:space="preserve">    joriy ijara</t>
  </si>
  <si>
    <t>shahar kommunal xizmatlari</t>
  </si>
  <si>
    <t>2.1.1.Temir yo'l va avtomobil transporti xarajatlari</t>
  </si>
  <si>
    <t>2.1.2. Savdo bozorlarini o'rganish xarajatlari</t>
  </si>
  <si>
    <t>2.1.3. Korxona tarkibi amalga oshirishga ko'ra. ko'mir mahsulotlari</t>
  </si>
  <si>
    <t>shu jumladan : - mehnat xarajatlari</t>
  </si>
  <si>
    <t xml:space="preserve">             - Yagona ijtimoiy to'lov</t>
  </si>
  <si>
    <t xml:space="preserve">             - Boshqa materiallar</t>
  </si>
  <si>
    <t>Ichki audit xizmati tarkibi:</t>
  </si>
  <si>
    <t xml:space="preserve"> - mehnat xarajatlari</t>
  </si>
  <si>
    <t xml:space="preserve"> - ijtimoiy sug'urta badallari</t>
  </si>
  <si>
    <t xml:space="preserve"> - sayohat xarajatlari</t>
  </si>
  <si>
    <t xml:space="preserve"> - boshqa xarajatlar</t>
  </si>
  <si>
    <t>shu jumladan universitetlarda</t>
  </si>
  <si>
    <t>2.3.2. Qabul qilish bartaraf etish xarajatlari loyihalardagi kamchiliklar</t>
  </si>
  <si>
    <t>2.3.6. sog'liqni saqlash va dam olishni tashkil etish bo'yicha 
          ishchilarning ishlab chiqarishdagi ishtiroki bilan bog'liqlik emas  Jarayoni</t>
  </si>
  <si>
    <t>2.3.7. Xo'jalik yurituvchi sub'ekt tomonidan bajarilgan ishlarning xarajatlari, 
          mahsulotlar ishlab chiqarish bilan bog'liq  emas</t>
  </si>
  <si>
    <t>2.3.8.7. Xodimlarni bepul tovarlar bilan ta'minlash
             mahsulotlar va boshqa qimmatbaho buyumlar</t>
  </si>
  <si>
    <t>2.3.8.8. Xodimlarning xarajatlarini qoplash</t>
  </si>
  <si>
    <t>2.3.9.3.  ishchilar ozod qilindi  xo'jalik yurituvchi sub'ektlardan
             ularning qayta tashkil etilishi munosabati bilan To'lov</t>
  </si>
  <si>
    <t>2.3.9.4. Xodimlarga modiy  yordam</t>
  </si>
  <si>
    <t>- "Gornyak" dispanseri</t>
  </si>
  <si>
    <t>2.3.11.Vaqtincha to‘xtatib qo‘yilgan ishlab chiqarish quvvatlari va obyektlarini saqlash xarajatlari (boshqa manbalar hisobiga qoplanadigan xarajatlardan tashqari).</t>
  </si>
  <si>
    <t>2.3.12. Yangi va takomillashtirilganlarini yaratish xarajatlari.
            ishlatiladigan texnologiyalar</t>
  </si>
  <si>
    <t>2.3.13. Ixtiro va ratsionalizatsiya xarajatlari
            ishlab chiqarish xarakteriga ega</t>
  </si>
  <si>
    <t>2.3.16. Majburiy byudjetga to'lovlar, soliqlar, yig'imlar</t>
  </si>
  <si>
    <t>- byudjetdan tashqari badallar. pensiya. fond, 12b-modda</t>
  </si>
  <si>
    <t xml:space="preserve">     - byudjetdan tashqari badallar. pensiya. fond, 15-modda</t>
  </si>
  <si>
    <t xml:space="preserve">     - pensiya jamg'armasiga badallar</t>
  </si>
  <si>
    <t xml:space="preserve">     - budjetdan tashqari fondlarga ajratmalar</t>
  </si>
  <si>
    <t xml:space="preserve">     - foydali qazilmalar solig'i</t>
  </si>
  <si>
    <t xml:space="preserve">     - mulk solig'i</t>
  </si>
  <si>
    <t xml:space="preserve">     - suv uchun chegirma</t>
  </si>
  <si>
    <t xml:space="preserve">     - er solig'i</t>
  </si>
  <si>
    <t>"2.3.18. Taqdim etilgan mahsulotlar bo'yicha narxlardagi farqlar.</t>
  </si>
  <si>
    <t>2.3.17. Yo'qotishlar va jarimalar</t>
  </si>
  <si>
    <t>2.3.16. Xodimlarga beriladigan yoki yordamchi xo‘jaliklar tomonidan xo‘jalik yurituvchi subyektning umumiy ovqatlanish korxonasi uchun ishlab chiqariladigan mahsulot (ishlar, xizmatlar) bo‘yicha narx tafovutlari.</t>
  </si>
  <si>
    <t>2.4. Hisobot davri xarajatlari
       kelajakdagi soliq bazasi  bundan mustasno</t>
  </si>
  <si>
    <t>план</t>
  </si>
  <si>
    <t>факт</t>
  </si>
  <si>
    <t>1.1. Производственные материальные затраты</t>
  </si>
  <si>
    <t>1.1.2. Вспомогательные материалы</t>
  </si>
  <si>
    <t xml:space="preserve">      лесные</t>
  </si>
  <si>
    <t xml:space="preserve">      взрывчатые</t>
  </si>
  <si>
    <t xml:space="preserve">      детонир. и другие СВ</t>
  </si>
  <si>
    <t xml:space="preserve">      запасные части через УМТС</t>
  </si>
  <si>
    <t xml:space="preserve">      запасные части  РГТО</t>
  </si>
  <si>
    <t xml:space="preserve">      затраты будущих периодов</t>
  </si>
  <si>
    <t xml:space="preserve">      прочие материалы</t>
  </si>
  <si>
    <t xml:space="preserve">      прочие материалы от РГТО</t>
  </si>
  <si>
    <t xml:space="preserve">      сырьё</t>
  </si>
  <si>
    <t xml:space="preserve">      балласт</t>
  </si>
  <si>
    <t>1.1.4.Услуги производственного характера</t>
  </si>
  <si>
    <t xml:space="preserve">        Услуги  по  вскрышным  работам  (ГРТ)</t>
  </si>
  <si>
    <t xml:space="preserve">     прочие</t>
  </si>
  <si>
    <t>1.1.5.Плата за воду</t>
  </si>
  <si>
    <t>1.1.6.Топливо</t>
  </si>
  <si>
    <t xml:space="preserve">          ГСМ</t>
  </si>
  <si>
    <t xml:space="preserve">          уголь на ПТН</t>
  </si>
  <si>
    <t xml:space="preserve">1.1.7. Энергия       </t>
  </si>
  <si>
    <t xml:space="preserve">       - электроэнергия       </t>
  </si>
  <si>
    <t xml:space="preserve">       - теплоэнергия       </t>
  </si>
  <si>
    <t xml:space="preserve">       - другие виды энергии       </t>
  </si>
  <si>
    <t>1.2. Заработная плата</t>
  </si>
  <si>
    <t>1.3. Единый социальный платеж</t>
  </si>
  <si>
    <t xml:space="preserve">1.4. Амортизация </t>
  </si>
  <si>
    <t>1.4. Амортизация нематериальных активов</t>
  </si>
  <si>
    <t>1.5. Прочие затраты производстводств. характера</t>
  </si>
  <si>
    <t xml:space="preserve"> Затраты, централизуемые объединением </t>
  </si>
  <si>
    <t xml:space="preserve">    служба технического  контроля</t>
  </si>
  <si>
    <t xml:space="preserve">    затраты, связанные со списанием суммы
    нематериальных активов (Гудвилл)</t>
  </si>
  <si>
    <t xml:space="preserve">   милицейская  охрана</t>
  </si>
  <si>
    <t xml:space="preserve">    пожарная охрана</t>
  </si>
  <si>
    <t xml:space="preserve">    услуги ВГСЧ</t>
  </si>
  <si>
    <t xml:space="preserve">    затраты по сертификации</t>
  </si>
  <si>
    <t>радиологоческие исследования</t>
  </si>
  <si>
    <t xml:space="preserve">    дезобраб. помещений и  дезинфекция </t>
  </si>
  <si>
    <t xml:space="preserve">    содерж. фондов природоохр. назнач., относ. к пр-ву</t>
  </si>
  <si>
    <t xml:space="preserve">    расходы, связанные с перевозкой  работников:</t>
  </si>
  <si>
    <t xml:space="preserve"> Прочие затраты по филиалам</t>
  </si>
  <si>
    <t xml:space="preserve">    регрессный иск</t>
  </si>
  <si>
    <t xml:space="preserve">    командировочные расходы</t>
  </si>
  <si>
    <t xml:space="preserve">    содержание медпунктов</t>
  </si>
  <si>
    <t xml:space="preserve">    страхование рабочих</t>
  </si>
  <si>
    <t xml:space="preserve">    медосмотр</t>
  </si>
  <si>
    <t xml:space="preserve">    затраты по поддерж. ПрОФ в раб.состоянии</t>
  </si>
  <si>
    <t xml:space="preserve">    аттестация рабочих мест</t>
  </si>
  <si>
    <t>Страхование  транспорта</t>
  </si>
  <si>
    <t xml:space="preserve">    геолого маркшейдерские</t>
  </si>
  <si>
    <t xml:space="preserve">    охрана труда и техника безопасности</t>
  </si>
  <si>
    <t xml:space="preserve">               - 1.5.7. Расходы по обязательной сертификации
                           продукции (услуги)</t>
  </si>
  <si>
    <t xml:space="preserve">                    = стандартизация</t>
  </si>
  <si>
    <t xml:space="preserve">                        технический осмотр</t>
  </si>
  <si>
    <t xml:space="preserve">    текущая аренда</t>
  </si>
  <si>
    <t xml:space="preserve">    услуги предприятий министерства связи</t>
  </si>
  <si>
    <t xml:space="preserve">    услуги горкомхоза</t>
  </si>
  <si>
    <t>2. Расходы периода</t>
  </si>
  <si>
    <t>2.1. Расходы по реализации</t>
  </si>
  <si>
    <t>2.1.1.Затраты по упаковке, хранению, транспортир.</t>
  </si>
  <si>
    <t>2.1.1.Затраты по ж/д и автоперевозкам</t>
  </si>
  <si>
    <t>2.1.2. Затраты по изучению рынков сбыта</t>
  </si>
  <si>
    <t>2.1.3. Содерж.предпр. по реализ. угольной продукции</t>
  </si>
  <si>
    <t>2.1.4. Прочие расходы по реализации</t>
  </si>
  <si>
    <t>в т.ч. :  - расходы на оплату труда</t>
  </si>
  <si>
    <t xml:space="preserve">             - ЕСП</t>
  </si>
  <si>
    <t xml:space="preserve">             - прочие материалы</t>
  </si>
  <si>
    <t xml:space="preserve">            - брокерское вознаграждение</t>
  </si>
  <si>
    <t xml:space="preserve">            - услуги РТСБ</t>
  </si>
  <si>
    <t xml:space="preserve">            - амортизация</t>
  </si>
  <si>
    <t xml:space="preserve">            - аренда здания</t>
  </si>
  <si>
    <t xml:space="preserve">            - электроэнергия</t>
  </si>
  <si>
    <t xml:space="preserve">            - прочие</t>
  </si>
  <si>
    <t xml:space="preserve">            - спецгидрометобеспечение</t>
  </si>
  <si>
    <t xml:space="preserve">            - Узбекэкспертиза</t>
  </si>
  <si>
    <t>2.2. Административные расходы</t>
  </si>
  <si>
    <t>2.2.1. Расходы на оплату труда</t>
  </si>
  <si>
    <t>2.2.2. Единый социальный платеж</t>
  </si>
  <si>
    <t>2.2.4. Затраты по организации и управлению</t>
  </si>
  <si>
    <t>2.2.3. Содерж. служ. легков. автотр. и микроавтобуса</t>
  </si>
  <si>
    <t>содержание службы внутреннего аудита:</t>
  </si>
  <si>
    <t xml:space="preserve"> - расходы на оплату труда</t>
  </si>
  <si>
    <t xml:space="preserve"> - отчисления на социальное страхование</t>
  </si>
  <si>
    <t xml:space="preserve"> - командировочные расходы</t>
  </si>
  <si>
    <t xml:space="preserve"> - прочие расходы</t>
  </si>
  <si>
    <t>2.2.5. Канцелярские, типографские</t>
  </si>
  <si>
    <t>2.2.6. Содержание средств связи, сигнализации, ИВЦ, 
          домов НТИ, и др., не относящихся к пр-ву</t>
  </si>
  <si>
    <t>2.2.7. Плата узлам связи за предоставленные услуги</t>
  </si>
  <si>
    <t xml:space="preserve">   - интернет</t>
  </si>
  <si>
    <t xml:space="preserve">   - сотовая связь</t>
  </si>
  <si>
    <t xml:space="preserve">   - плата узлам связи</t>
  </si>
  <si>
    <t>2.2.8. Междугородние и международные переговоры</t>
  </si>
  <si>
    <t>2.2.9. Аренда зданий и помещ. для админ.-упр. нужд</t>
  </si>
  <si>
    <t>2.2.10. Затр. на содерж., ремонт, износ ОС адм.назнач.</t>
  </si>
  <si>
    <t xml:space="preserve">   -  затраты на оплату труда</t>
  </si>
  <si>
    <t xml:space="preserve">   -  единый социальный платеж</t>
  </si>
  <si>
    <t xml:space="preserve">   - амортизация</t>
  </si>
  <si>
    <t xml:space="preserve">   - содержание и ремонт ОФ (сэс, вывоз мусора, обслуж. Тепла,ремонт системы отопления)</t>
  </si>
  <si>
    <t xml:space="preserve">      в т. ч.: капитальный ремонт админ. здания</t>
  </si>
  <si>
    <t xml:space="preserve">   - вода</t>
  </si>
  <si>
    <t xml:space="preserve">   - электроэнергия</t>
  </si>
  <si>
    <t xml:space="preserve">   - отопление Уголь на  птн</t>
  </si>
  <si>
    <t xml:space="preserve">   - прочие</t>
  </si>
  <si>
    <t xml:space="preserve">   - общежитие №3</t>
  </si>
  <si>
    <t xml:space="preserve">   - административное здание </t>
  </si>
  <si>
    <t>2.2.11. Страхование работников</t>
  </si>
  <si>
    <t>2.2.10. Отчисления на содерж.доверит. управлен.</t>
  </si>
  <si>
    <t>2.2.14. Представительские расходы</t>
  </si>
  <si>
    <t>2.2.16. Текущ. затраты, связ. с содерж. и эксплуатацией 
          фондов природоохр. назнач., не относящ. к пр-ву</t>
  </si>
  <si>
    <t>2.2.17. Расходы по списанию инвентаря и хоз.принадл.</t>
  </si>
  <si>
    <t xml:space="preserve"> 2.3.  Прочие операционные расходы</t>
  </si>
  <si>
    <t xml:space="preserve">2.3.1. Расходы на подготовку и переподготовку кадров </t>
  </si>
  <si>
    <t xml:space="preserve">в т.ч.   в ВУЗах </t>
  </si>
  <si>
    <t>2.3.2. Погаш. затрат по устран. недоделок в проектах</t>
  </si>
  <si>
    <t>2.3.3. Оплата консультац. и информационных услуг</t>
  </si>
  <si>
    <t>2.3.4. Оплата аудиторских услуг</t>
  </si>
  <si>
    <t>2.3.6. Меропр. по охране здоровья и организ.отдыха, не 
          связ.с участием работников в произв. процессе</t>
  </si>
  <si>
    <t>2.3.7. Затраты на выполнение хоз.субъектом работ, не 
          связанных с производством продукции</t>
  </si>
  <si>
    <t>2.3.8. Выплаты компенсирующего характера:</t>
  </si>
  <si>
    <t xml:space="preserve">2.3.8.2. Единовр. премии, вознаграждения и выплаты за выслугу лет, включая натур. выплаты </t>
  </si>
  <si>
    <t xml:space="preserve">             в т.ч единый социальный платеж</t>
  </si>
  <si>
    <t>2.3.8.4. Доплаты в случае врем. утраты трудоспос. до 
             фактич. заработка устан. законодательством</t>
  </si>
  <si>
    <t>2.3.8.5. Зарплата по основн. месту работы, рабочим 
             и спец-ам во время обуч. с отрывом от пр-ва</t>
  </si>
  <si>
    <t>2.3.8.7. Выдача бесплатно работникам товаров, 
             продукции и иных ценностей</t>
  </si>
  <si>
    <t>2.3.8.8. Возмещение расходов работников</t>
  </si>
  <si>
    <t>2.3.9. Выпл. и расх., не учитыв. при начисл. зарплаты</t>
  </si>
  <si>
    <t>2.3.9.1. Выплата ежемесячного пособия по уходу за
             ребенком до 2-х летнего возраста</t>
  </si>
  <si>
    <t>2.3.9.2. Надбавки к пенсиям,единовременные пособия 
             уходящим на пенсию</t>
  </si>
  <si>
    <t>2.3.9.3. Выпл. работникам, высвобожд. с хоз. субъектов 
             в связи с их реорганизацией</t>
  </si>
  <si>
    <t>2.3.9.4. Материальная помощь работникам</t>
  </si>
  <si>
    <t>2.3.10. Содерж. объектов здравоохр., домов престарел., детских дошкольных учреждений, жилфонда</t>
  </si>
  <si>
    <t xml:space="preserve">            - детский лагерь "Коинот"</t>
  </si>
  <si>
    <t xml:space="preserve">            - профилакторий "Горняк"</t>
  </si>
  <si>
    <t xml:space="preserve">            - общежитие №4</t>
  </si>
  <si>
    <t>2.3.11. Затраты на содержание законсервированных 
            производств. мощностей и объектов</t>
  </si>
  <si>
    <t>2.3.12. Затраты на создание новых и совершенствов.
            применяемых технологий</t>
  </si>
  <si>
    <t>2.3.13. Затраты на изобретательство и рационализацию 
            производственного характера</t>
  </si>
  <si>
    <t>2.3.14. Оплата услуг банка и депозитария</t>
  </si>
  <si>
    <t>2.3.15. Взносы в экологич., оздоровит. и иные фонды</t>
  </si>
  <si>
    <t>2.3.16. Обязат. платежи в бюджет, налоги, сборы</t>
  </si>
  <si>
    <t xml:space="preserve">     - отчисл.во внебюджет. пенсион. фонд, статья 12б</t>
  </si>
  <si>
    <t xml:space="preserve">     - отчисл.во внебюджет. пенсион. фонд, статья 15</t>
  </si>
  <si>
    <t xml:space="preserve">     - отчисление  в пенсионный фонд</t>
  </si>
  <si>
    <t xml:space="preserve">     - отчисл.во внебюджетные фонды</t>
  </si>
  <si>
    <t xml:space="preserve">     - налог на недра </t>
  </si>
  <si>
    <t xml:space="preserve">     - налог на имущество</t>
  </si>
  <si>
    <t xml:space="preserve">     - отчисл.за воду</t>
  </si>
  <si>
    <t xml:space="preserve">     - налог на землю</t>
  </si>
  <si>
    <t>2.3.17. Убытки, штрафы, пенни</t>
  </si>
  <si>
    <t>2.3.18. Ценовые разницы по продукции, предоставл. 
            работн. или выпуск. подсобн. хоз. для общепита</t>
  </si>
  <si>
    <t>2.3.19. Списание суммы нематер. актива Гудвилла, в 
            части имущества, не связ. с произв. процессом</t>
  </si>
  <si>
    <t>больничные</t>
  </si>
  <si>
    <t>1.5.1.1. затраты по обеспечению про-ва сырьем, материалами, топливом, электроэнергией, инструментами и др. средствами труда</t>
  </si>
  <si>
    <t>затраты по Тб</t>
  </si>
  <si>
    <t>1.5.1.9 спецодежда</t>
  </si>
  <si>
    <t>1.5.1.9 спецпитание</t>
  </si>
  <si>
    <t xml:space="preserve">   1.5.1.9  спецмолоко</t>
  </si>
  <si>
    <t>1.5.1.2 Затраты по поддержанию производственных осн средств</t>
  </si>
  <si>
    <t xml:space="preserve">2.2.12. Затраты на служебные командировки управлен. персонала </t>
  </si>
  <si>
    <t>2.3.5. Убытки от содержания собств. обслуж. производств</t>
  </si>
  <si>
    <t xml:space="preserve">            - спортзал</t>
  </si>
  <si>
    <t xml:space="preserve">     - НДС</t>
  </si>
  <si>
    <t xml:space="preserve">     -прочие, ФРНО</t>
  </si>
  <si>
    <t>2.3.26. Прочие Почтовые сборы на регресные иски</t>
  </si>
  <si>
    <t>2.3.21. Пособия по временной нетрудоспособности работников АУП
            переданных в аренду</t>
  </si>
  <si>
    <t>2.3.8.3. Оплата за время вынужденного прогула</t>
  </si>
  <si>
    <t>23-ILOVA</t>
  </si>
  <si>
    <t>2.2.10. Ma'muriy tizimlarga texnik xizmat ko'rsatish, ta'mirlash, eskirish va eskirish xarajatlari</t>
  </si>
  <si>
    <t>2.3.21. Boshqaruv xodimlariga va ishlab chiqarish jarayonida ishtirok etmagan boshqa xodimlarga vaqtincha mehnatga qobiliyatsizlik nafaqalarini to'lash bilan bog'liq xarajatlar.</t>
  </si>
  <si>
    <t>2.3.26. Regress da'volari uchun  pochta to'lovlari</t>
  </si>
  <si>
    <t xml:space="preserve">            - - sportzal</t>
  </si>
  <si>
    <t xml:space="preserve">     ish kiyimi</t>
  </si>
  <si>
    <t xml:space="preserve">     maxsus ovqat</t>
  </si>
  <si>
    <t xml:space="preserve">  Ishlab chiqarish fondlarini saqlash xarajatlari</t>
  </si>
  <si>
    <t xml:space="preserve"> sanoatni xom ashyo, materiallar, yoqilg'i, elektr energiyasi, asboblar va boshqa mehnat vositalari bilan ta'minlash xarajatlari</t>
  </si>
  <si>
    <t xml:space="preserve">  Ishga  layoqatsizlik  varaqalari</t>
  </si>
  <si>
    <t>2.2.12. Boshqaruv xodimlarining xizmat safarlari uchun xarajatlar</t>
  </si>
  <si>
    <t>Texnika xavfsizligi harajatlari</t>
  </si>
  <si>
    <t>2.3.5. O'z xizmat ko'rsatish ishlab chiqarishiga texnik xizmat ko'rsatishdan yo'qotishlar</t>
  </si>
  <si>
    <t xml:space="preserve">            - 3, 4-sonli yotoqxona</t>
  </si>
  <si>
    <t xml:space="preserve">     - Qo'shilgan qiymat solig'i</t>
  </si>
  <si>
    <t xml:space="preserve">     - Boshqalar, FRNO</t>
  </si>
  <si>
    <t>Yilning 1-yarmi</t>
  </si>
  <si>
    <t>1-chorak</t>
  </si>
  <si>
    <t>2-chorak</t>
  </si>
  <si>
    <t>shu jumladan chorak bo'yicha (ming so'm)</t>
  </si>
  <si>
    <t>reja</t>
  </si>
  <si>
    <t>amalda</t>
  </si>
  <si>
    <t>Ko'rsatkichlar nomi</t>
  </si>
  <si>
    <t xml:space="preserve"> “O‘zbekkomir” AJning 2024 yil  mo‘ljallangan xarajatlari</t>
  </si>
  <si>
    <t>2.3.8.3. Majburiy yo'qlik uchun to'lov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</si>
</sst>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#"/>
    <numFmt numFmtId="166" formatCode="_-* #,##0.00\ _?_._-;\-* #,##0.00\ _?_._-;_-* &quot;-&quot;??\ _?_._-;_-@_-"/>
    <numFmt numFmtId="167" formatCode="_-* #,##0.00\ &quot;?.&quot;_-;\-* #,##0.00\ &quot;?.&quot;_-;_-* &quot;-&quot;??\ &quot;?.&quot;_-;_-@_-"/>
    <numFmt numFmtId="168" formatCode="#\,##0.00"/>
    <numFmt numFmtId="169" formatCode="#.00"/>
    <numFmt numFmtId="170" formatCode="\$#.00"/>
    <numFmt numFmtId="171" formatCode="#."/>
    <numFmt numFmtId="172" formatCode="%#.00"/>
    <numFmt numFmtId="173" formatCode="_-* #,##0\ &quot;d.&quot;_-;\-* #,##0\ &quot;d.&quot;_-;_-* &quot;-&quot;\ &quot;d.&quot;_-;_-@_-"/>
    <numFmt numFmtId="174" formatCode="_-* #,##0.00\ &quot;d.&quot;_-;\-* #,##0.00\ &quot;d.&quot;_-;_-* &quot;-&quot;??\ &quot;d.&quot;_-;_-@_-"/>
    <numFmt numFmtId="175" formatCode="_-* #,##0\ _р_._-;\-* #,##0\ _р_._-;_-* &quot;-&quot;\ _р_._-;_-@_-"/>
    <numFmt numFmtId="176" formatCode="#,##0.00;[Red]\(#,##0.00\)"/>
    <numFmt numFmtId="177" formatCode="_-* #,##0&quot; р &quot;_-;\-* #,##0&quot; р &quot;_-;_-* &quot;-&quot;&quot; р &quot;_-;_-@_-"/>
    <numFmt numFmtId="178" formatCode="_-* #,##0.00&quot; р &quot;_-;\-* #,##0.00&quot; р &quot;_-;_-* &quot;-&quot;??&quot; р &quot;_-;_-@_-"/>
    <numFmt numFmtId="179" formatCode="\$#,##0\ ;\(\$#,##0\)"/>
    <numFmt numFmtId="180" formatCode="_-* #,##0.00[$€-1]_-;\-* #,##0.00[$€-1]_-;_-* &quot;-&quot;??[$€-1]_-"/>
    <numFmt numFmtId="181" formatCode="_-* #,##0\ _d_._-;\-* #,##0\ _d_._-;_-* &quot;-&quot;\ _d_._-;_-@_-"/>
    <numFmt numFmtId="182" formatCode="_-* #,##0.00\ _d_._-;\-* #,##0.00\ _d_._-;_-* &quot;-&quot;??\ _d_._-;_-@_-"/>
    <numFmt numFmtId="183" formatCode="#,##0.00;\–#,##0.00;&quot;—&quot;"/>
    <numFmt numFmtId="184" formatCode="\+#,##0.00;\–#,##0.00;&quot;—&quot;"/>
    <numFmt numFmtId="185" formatCode="\+#,##0.0%;\–#,##0.0%;&quot;—&quot;"/>
    <numFmt numFmtId="186" formatCode="#,##0.0%;\–#,##0.0%;&quot;—&quot;"/>
    <numFmt numFmtId="187" formatCode="#,##0.0;[Red]\-#,##0.0;"/>
    <numFmt numFmtId="188" formatCode="_-* #,##0\ _?_._-;\-* #,##0\ _?_._-;_-* &quot;-&quot;\ _?_._-;_-@_-"/>
    <numFmt numFmtId="189" formatCode="_-* #,##0_р_._-;\-* #,##0_р_._-;_-* &quot;-&quot;??_р_._-;_-@_-"/>
    <numFmt numFmtId="190" formatCode="0.0%"/>
    <numFmt numFmtId="191" formatCode="0.0"/>
    <numFmt numFmtId="192" formatCode="#,##0.0__;[Red]\-#,##0.0__;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i/>
      <sz val="10"/>
      <name val="Times New Roman"/>
      <family val="1"/>
      <charset val="204"/>
    </font>
    <font>
      <sz val="12"/>
      <color indexed="35"/>
      <name val="Courier"/>
      <family val="1"/>
      <charset val="204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16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0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ЏрЯмой Џроп"/>
    </font>
    <font>
      <b/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8"/>
      <name val="Times New Roman Cyr"/>
      <family val="1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Times New Roman Cyr"/>
      <family val="1"/>
      <charset val="204"/>
    </font>
    <font>
      <sz val="10"/>
      <name val="Trebuchet MS"/>
      <family val="2"/>
    </font>
    <font>
      <sz val="10"/>
      <name val="Helv"/>
    </font>
    <font>
      <sz val="11"/>
      <name val="돋움"/>
      <family val="3"/>
      <charset val="129"/>
    </font>
    <font>
      <sz val="11"/>
      <name val="돋움"/>
      <family val="2"/>
      <charset val="129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2">
    <xf numFmtId="0" fontId="0" fillId="0" borderId="0"/>
    <xf numFmtId="0" fontId="2" fillId="0" borderId="0" applyFont="0"/>
    <xf numFmtId="165" fontId="11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0" fontId="17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0" fontId="17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0" fontId="17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6" fillId="0" borderId="22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0" fontId="19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0" fontId="19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65" fontId="17" fillId="0" borderId="22">
      <protection locked="0"/>
    </xf>
    <xf numFmtId="170" fontId="20" fillId="0" borderId="0">
      <protection locked="0"/>
    </xf>
    <xf numFmtId="165" fontId="20" fillId="0" borderId="22">
      <protection locked="0"/>
    </xf>
    <xf numFmtId="172" fontId="20" fillId="0" borderId="0">
      <protection locked="0"/>
    </xf>
    <xf numFmtId="168" fontId="20" fillId="0" borderId="0">
      <protection locked="0"/>
    </xf>
    <xf numFmtId="169" fontId="20" fillId="0" borderId="0">
      <protection locked="0"/>
    </xf>
    <xf numFmtId="165" fontId="21" fillId="0" borderId="0">
      <protection locked="0"/>
    </xf>
    <xf numFmtId="165" fontId="22" fillId="0" borderId="0">
      <protection locked="0"/>
    </xf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165" fontId="26" fillId="0" borderId="0">
      <protection locked="0"/>
    </xf>
    <xf numFmtId="165" fontId="26" fillId="0" borderId="0">
      <protection locked="0"/>
    </xf>
    <xf numFmtId="165" fontId="27" fillId="0" borderId="0">
      <protection locked="0"/>
    </xf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8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8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27" borderId="0" applyNumberFormat="0" applyBorder="0" applyAlignment="0" applyProtection="0"/>
    <xf numFmtId="0" fontId="24" fillId="32" borderId="0" applyNumberFormat="0" applyBorder="0" applyAlignment="0" applyProtection="0"/>
    <xf numFmtId="0" fontId="25" fillId="28" borderId="0" applyNumberFormat="0" applyBorder="0" applyAlignment="0" applyProtection="0"/>
    <xf numFmtId="0" fontId="28" fillId="29" borderId="0" applyNumberFormat="0" applyBorder="0" applyAlignment="0" applyProtection="0"/>
    <xf numFmtId="0" fontId="25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5" fillId="28" borderId="0" applyNumberFormat="0" applyBorder="0" applyAlignment="0" applyProtection="0"/>
    <xf numFmtId="0" fontId="28" fillId="25" borderId="0" applyNumberFormat="0" applyBorder="0" applyAlignment="0" applyProtection="0"/>
    <xf numFmtId="0" fontId="25" fillId="20" borderId="0" applyNumberFormat="0" applyBorder="0" applyAlignment="0" applyProtection="0"/>
    <xf numFmtId="0" fontId="24" fillId="33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8" fillId="34" borderId="0" applyNumberFormat="0" applyBorder="0" applyAlignment="0" applyProtection="0"/>
    <xf numFmtId="0" fontId="25" fillId="35" borderId="0" applyNumberFormat="0" applyBorder="0" applyAlignment="0" applyProtection="0"/>
    <xf numFmtId="0" fontId="24" fillId="27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28" fillId="37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9" fillId="9" borderId="0" applyNumberFormat="0" applyBorder="0" applyAlignment="0" applyProtection="0"/>
    <xf numFmtId="0" fontId="30" fillId="38" borderId="23" applyNumberFormat="0" applyAlignment="0" applyProtection="0"/>
    <xf numFmtId="0" fontId="31" fillId="39" borderId="24" applyNumberFormat="0" applyAlignment="0" applyProtection="0"/>
    <xf numFmtId="164" fontId="15" fillId="0" borderId="0" applyFill="0" applyBorder="0" applyAlignment="0" applyProtection="0"/>
    <xf numFmtId="175" fontId="2" fillId="0" borderId="0" applyFont="0" applyFill="0" applyBorder="0" applyAlignment="0" applyProtection="0"/>
    <xf numFmtId="176" fontId="23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7" fontId="15" fillId="0" borderId="0" applyFill="0" applyBorder="0" applyAlignment="0" applyProtection="0"/>
    <xf numFmtId="177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180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6" fillId="10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165" fontId="26" fillId="0" borderId="0">
      <protection locked="0"/>
    </xf>
    <xf numFmtId="0" fontId="40" fillId="0" borderId="0"/>
    <xf numFmtId="165" fontId="41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2" fillId="13" borderId="23" applyNumberFormat="0" applyAlignment="0" applyProtection="0"/>
    <xf numFmtId="0" fontId="43" fillId="0" borderId="26" applyNumberFormat="0" applyFill="0" applyAlignment="0" applyProtection="0"/>
    <xf numFmtId="0" fontId="44" fillId="43" borderId="0" applyNumberFormat="0" applyBorder="0" applyAlignment="0" applyProtection="0"/>
    <xf numFmtId="0" fontId="23" fillId="0" borderId="27"/>
    <xf numFmtId="0" fontId="23" fillId="0" borderId="27"/>
    <xf numFmtId="0" fontId="23" fillId="0" borderId="27"/>
    <xf numFmtId="0" fontId="23" fillId="0" borderId="27"/>
    <xf numFmtId="0" fontId="23" fillId="0" borderId="27"/>
    <xf numFmtId="0" fontId="23" fillId="0" borderId="27"/>
    <xf numFmtId="0" fontId="23" fillId="0" borderId="27"/>
    <xf numFmtId="0" fontId="23" fillId="0" borderId="27"/>
    <xf numFmtId="0" fontId="23" fillId="0" borderId="27"/>
    <xf numFmtId="0" fontId="23" fillId="0" borderId="27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4" fillId="44" borderId="28" applyNumberFormat="0" applyFont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5" fontId="26" fillId="0" borderId="0">
      <protection locked="0"/>
    </xf>
    <xf numFmtId="165" fontId="26" fillId="0" borderId="0">
      <protection locked="0"/>
    </xf>
    <xf numFmtId="165" fontId="27" fillId="0" borderId="0">
      <protection locked="0"/>
    </xf>
    <xf numFmtId="0" fontId="46" fillId="38" borderId="29" applyNumberFormat="0" applyAlignment="0" applyProtection="0"/>
    <xf numFmtId="10" fontId="15" fillId="0" borderId="0" applyFill="0" applyBorder="0" applyAlignment="0" applyProtection="0"/>
    <xf numFmtId="0" fontId="2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32" fillId="0" borderId="30" applyNumberFormat="0" applyFont="0" applyFill="0" applyAlignment="0" applyProtection="0"/>
    <xf numFmtId="0" fontId="4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2" fillId="13" borderId="23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46" fillId="38" borderId="29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14" fontId="50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>
      <alignment horizontal="center"/>
    </xf>
    <xf numFmtId="183" fontId="51" fillId="0" borderId="0" applyNumberFormat="0" applyFill="0" applyBorder="0" applyAlignment="0" applyProtection="0">
      <alignment vertical="top"/>
    </xf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0" fontId="48" fillId="0" borderId="0" applyNumberFormat="0" applyFill="0" applyBorder="0" applyAlignment="0" applyProtection="0"/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184" fontId="50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" fillId="0" borderId="0"/>
    <xf numFmtId="0" fontId="15" fillId="0" borderId="0"/>
    <xf numFmtId="0" fontId="1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24" fillId="0" borderId="0"/>
    <xf numFmtId="0" fontId="1" fillId="0" borderId="0"/>
    <xf numFmtId="0" fontId="15" fillId="0" borderId="0" applyNumberFormat="0" applyFont="0" applyFill="0" applyBorder="0" applyAlignment="0" applyProtection="0">
      <alignment vertical="top"/>
    </xf>
    <xf numFmtId="0" fontId="2" fillId="0" borderId="0" applyFill="0" applyBorder="0" applyAlignment="0" applyProtection="0"/>
    <xf numFmtId="0" fontId="2" fillId="0" borderId="0"/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" fillId="0" borderId="0"/>
    <xf numFmtId="0" fontId="24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2" fillId="0" borderId="0" applyFill="0" applyBorder="0" applyAlignment="0" applyProtection="0"/>
    <xf numFmtId="0" fontId="24" fillId="0" borderId="0"/>
    <xf numFmtId="0" fontId="2" fillId="0" borderId="0"/>
    <xf numFmtId="0" fontId="2" fillId="0" borderId="0"/>
    <xf numFmtId="0" fontId="2" fillId="0" borderId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0" fontId="15" fillId="44" borderId="28" applyNumberFormat="0" applyFont="0" applyAlignment="0" applyProtection="0"/>
    <xf numFmtId="185" fontId="50" fillId="0" borderId="0" applyFont="0" applyFill="0" applyBorder="0" applyAlignment="0" applyProtection="0">
      <alignment vertical="top"/>
    </xf>
    <xf numFmtId="186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187" fontId="2" fillId="0" borderId="34"/>
    <xf numFmtId="0" fontId="60" fillId="0" borderId="0"/>
    <xf numFmtId="0" fontId="2" fillId="0" borderId="0"/>
    <xf numFmtId="49" fontId="50" fillId="0" borderId="0" applyFont="0" applyFill="0" applyBorder="0" applyProtection="0">
      <alignment vertical="top" wrapTex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8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9" fontId="59" fillId="0" borderId="0" applyFont="0" applyFill="0" applyBorder="0" applyAlignment="0" applyProtection="0">
      <alignment vertical="center"/>
    </xf>
    <xf numFmtId="189" fontId="5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15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0" fontId="17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83" fontId="50" fillId="45" borderId="0" applyNumberFormat="0" applyFont="0" applyBorder="0" applyProtection="0">
      <alignment horizontal="center" vertical="center" wrapText="1"/>
    </xf>
    <xf numFmtId="0" fontId="61" fillId="0" borderId="0"/>
    <xf numFmtId="0" fontId="62" fillId="0" borderId="0"/>
    <xf numFmtId="43" fontId="63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0" fontId="4" fillId="0" borderId="9" xfId="1" applyFont="1" applyBorder="1" applyAlignment="1"/>
    <xf numFmtId="3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10" xfId="1" applyFont="1" applyBorder="1"/>
    <xf numFmtId="1" fontId="6" fillId="0" borderId="12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0" fontId="4" fillId="2" borderId="14" xfId="1" applyNumberFormat="1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/>
    <xf numFmtId="9" fontId="4" fillId="0" borderId="0" xfId="1" applyNumberFormat="1" applyFont="1"/>
    <xf numFmtId="0" fontId="4" fillId="0" borderId="15" xfId="1" applyNumberFormat="1" applyFont="1" applyBorder="1" applyAlignment="1">
      <alignment vertical="center" wrapText="1"/>
    </xf>
    <xf numFmtId="0" fontId="3" fillId="2" borderId="16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9" xfId="1" applyFont="1" applyBorder="1"/>
    <xf numFmtId="0" fontId="3" fillId="2" borderId="11" xfId="1" applyNumberFormat="1" applyFont="1" applyFill="1" applyBorder="1" applyAlignment="1">
      <alignment vertical="center" wrapText="1"/>
    </xf>
    <xf numFmtId="3" fontId="6" fillId="6" borderId="19" xfId="1" applyNumberFormat="1" applyFont="1" applyFill="1" applyBorder="1"/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0" fontId="6" fillId="2" borderId="20" xfId="1" applyNumberFormat="1" applyFont="1" applyFill="1" applyBorder="1" applyAlignment="1">
      <alignment vertical="center" wrapText="1"/>
    </xf>
    <xf numFmtId="1" fontId="4" fillId="0" borderId="20" xfId="1" applyNumberFormat="1" applyFont="1" applyBorder="1" applyAlignment="1">
      <alignment horizontal="center" vertical="center"/>
    </xf>
    <xf numFmtId="1" fontId="4" fillId="0" borderId="20" xfId="1" applyNumberFormat="1" applyFont="1" applyFill="1" applyBorder="1" applyAlignment="1">
      <alignment horizontal="center" vertical="center"/>
    </xf>
    <xf numFmtId="0" fontId="4" fillId="0" borderId="21" xfId="1" applyFont="1" applyBorder="1"/>
    <xf numFmtId="1" fontId="4" fillId="0" borderId="0" xfId="1" applyNumberFormat="1" applyFont="1" applyAlignment="1">
      <alignment horizontal="center" vertical="center"/>
    </xf>
    <xf numFmtId="0" fontId="6" fillId="2" borderId="12" xfId="1" applyFont="1" applyFill="1" applyBorder="1"/>
    <xf numFmtId="0" fontId="4" fillId="2" borderId="12" xfId="1" applyFont="1" applyFill="1" applyBorder="1"/>
    <xf numFmtId="1" fontId="6" fillId="0" borderId="12" xfId="1" applyNumberFormat="1" applyFont="1" applyFill="1" applyBorder="1" applyAlignment="1">
      <alignment horizontal="center" vertical="center"/>
    </xf>
    <xf numFmtId="1" fontId="4" fillId="0" borderId="0" xfId="1" applyNumberFormat="1" applyFont="1"/>
    <xf numFmtId="0" fontId="6" fillId="0" borderId="0" xfId="1" applyFont="1" applyAlignment="1">
      <alignment horizontal="center"/>
    </xf>
    <xf numFmtId="0" fontId="6" fillId="2" borderId="8" xfId="1" applyFont="1" applyFill="1" applyBorder="1"/>
    <xf numFmtId="1" fontId="6" fillId="0" borderId="8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left"/>
    </xf>
    <xf numFmtId="0" fontId="4" fillId="0" borderId="0" xfId="1" applyFont="1" applyFill="1"/>
    <xf numFmtId="0" fontId="9" fillId="0" borderId="0" xfId="1" applyFont="1"/>
    <xf numFmtId="3" fontId="10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Border="1" applyAlignment="1"/>
    <xf numFmtId="3" fontId="6" fillId="0" borderId="40" xfId="1" applyNumberFormat="1" applyFont="1" applyBorder="1" applyAlignment="1">
      <alignment horizontal="center" vertical="center"/>
    </xf>
    <xf numFmtId="3" fontId="4" fillId="0" borderId="40" xfId="1" applyNumberFormat="1" applyFont="1" applyFill="1" applyBorder="1" applyAlignment="1">
      <alignment horizontal="center" vertical="center"/>
    </xf>
    <xf numFmtId="3" fontId="6" fillId="0" borderId="40" xfId="1" applyNumberFormat="1" applyFont="1" applyFill="1" applyBorder="1" applyAlignment="1">
      <alignment horizontal="center" vertical="center"/>
    </xf>
    <xf numFmtId="3" fontId="4" fillId="0" borderId="40" xfId="1" applyNumberFormat="1" applyFont="1" applyFill="1" applyBorder="1" applyAlignment="1">
      <alignment horizontal="center"/>
    </xf>
    <xf numFmtId="3" fontId="6" fillId="0" borderId="41" xfId="1" applyNumberFormat="1" applyFont="1" applyBorder="1" applyAlignment="1">
      <alignment horizontal="center" vertical="center"/>
    </xf>
    <xf numFmtId="3" fontId="6" fillId="0" borderId="42" xfId="1" applyNumberFormat="1" applyFont="1" applyBorder="1" applyAlignment="1">
      <alignment horizontal="center" vertical="center"/>
    </xf>
    <xf numFmtId="3" fontId="6" fillId="0" borderId="40" xfId="1" applyNumberFormat="1" applyFont="1" applyBorder="1" applyAlignment="1">
      <alignment horizontal="center"/>
    </xf>
    <xf numFmtId="1" fontId="4" fillId="0" borderId="40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 applyProtection="1">
      <alignment horizontal="center"/>
    </xf>
    <xf numFmtId="0" fontId="6" fillId="2" borderId="45" xfId="1" applyFont="1" applyFill="1" applyBorder="1" applyAlignment="1" applyProtection="1">
      <alignment horizontal="center"/>
    </xf>
    <xf numFmtId="0" fontId="4" fillId="4" borderId="0" xfId="1" applyFont="1" applyFill="1" applyBorder="1" applyAlignment="1">
      <alignment horizontal="center"/>
    </xf>
    <xf numFmtId="3" fontId="6" fillId="4" borderId="35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/>
    <xf numFmtId="3" fontId="4" fillId="0" borderId="0" xfId="1" applyNumberFormat="1" applyFont="1"/>
    <xf numFmtId="0" fontId="6" fillId="2" borderId="11" xfId="1" applyNumberFormat="1" applyFont="1" applyFill="1" applyBorder="1" applyAlignment="1"/>
    <xf numFmtId="3" fontId="6" fillId="0" borderId="12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vertical="center" wrapText="1"/>
    </xf>
    <xf numFmtId="3" fontId="6" fillId="4" borderId="12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vertical="center" wrapText="1"/>
    </xf>
    <xf numFmtId="3" fontId="4" fillId="4" borderId="12" xfId="1" applyNumberFormat="1" applyFont="1" applyFill="1" applyBorder="1" applyAlignment="1">
      <alignment horizontal="center" vertical="center"/>
    </xf>
    <xf numFmtId="3" fontId="4" fillId="5" borderId="12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/>
    <xf numFmtId="3" fontId="4" fillId="0" borderId="12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vertical="center" wrapText="1"/>
    </xf>
    <xf numFmtId="3" fontId="7" fillId="0" borderId="12" xfId="1" applyNumberFormat="1" applyFont="1" applyFill="1" applyBorder="1" applyAlignment="1">
      <alignment horizontal="center" vertical="center"/>
    </xf>
    <xf numFmtId="0" fontId="4" fillId="0" borderId="15" xfId="1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3" fillId="2" borderId="16" xfId="1" applyNumberFormat="1" applyFont="1" applyFill="1" applyBorder="1" applyAlignment="1">
      <alignment vertical="center" wrapText="1"/>
    </xf>
    <xf numFmtId="3" fontId="6" fillId="0" borderId="17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 wrapText="1"/>
    </xf>
    <xf numFmtId="3" fontId="6" fillId="0" borderId="18" xfId="1" applyNumberFormat="1" applyFont="1" applyBorder="1" applyAlignment="1">
      <alignment horizontal="center" vertical="center"/>
    </xf>
    <xf numFmtId="0" fontId="4" fillId="0" borderId="9" xfId="1" applyFont="1" applyBorder="1"/>
    <xf numFmtId="4" fontId="4" fillId="4" borderId="0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vertical="center" wrapText="1"/>
    </xf>
    <xf numFmtId="3" fontId="6" fillId="0" borderId="12" xfId="1" applyNumberFormat="1" applyFont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4" borderId="12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vertical="center" wrapText="1"/>
    </xf>
    <xf numFmtId="0" fontId="4" fillId="3" borderId="11" xfId="1" applyNumberFormat="1" applyFont="1" applyFill="1" applyBorder="1" applyAlignment="1">
      <alignment vertical="center" wrapText="1"/>
    </xf>
    <xf numFmtId="189" fontId="4" fillId="0" borderId="12" xfId="941" applyNumberFormat="1" applyFont="1" applyFill="1" applyBorder="1" applyAlignment="1">
      <alignment horizontal="center" vertical="center"/>
    </xf>
    <xf numFmtId="0" fontId="6" fillId="2" borderId="19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/>
    <xf numFmtId="0" fontId="4" fillId="2" borderId="4" xfId="1" applyFont="1" applyFill="1" applyBorder="1" applyAlignment="1" applyProtection="1"/>
    <xf numFmtId="0" fontId="6" fillId="2" borderId="50" xfId="1" applyFont="1" applyFill="1" applyBorder="1" applyAlignment="1" applyProtection="1">
      <alignment horizontal="center"/>
    </xf>
    <xf numFmtId="0" fontId="6" fillId="2" borderId="46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3" fontId="4" fillId="4" borderId="35" xfId="1" applyNumberFormat="1" applyFont="1" applyFill="1" applyBorder="1" applyAlignment="1">
      <alignment horizontal="center" vertical="center" wrapText="1"/>
    </xf>
    <xf numFmtId="189" fontId="4" fillId="0" borderId="12" xfId="941" applyNumberFormat="1" applyFont="1" applyFill="1" applyBorder="1" applyAlignment="1">
      <alignment vertical="center"/>
    </xf>
    <xf numFmtId="3" fontId="6" fillId="4" borderId="52" xfId="1" applyNumberFormat="1" applyFont="1" applyFill="1" applyBorder="1" applyAlignment="1">
      <alignment horizontal="center" vertical="center" wrapText="1"/>
    </xf>
    <xf numFmtId="3" fontId="6" fillId="4" borderId="46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47" xfId="1" applyNumberFormat="1" applyFont="1" applyFill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6" fillId="2" borderId="39" xfId="1" applyFont="1" applyFill="1" applyBorder="1" applyAlignment="1" applyProtection="1">
      <alignment horizontal="center"/>
    </xf>
    <xf numFmtId="0" fontId="6" fillId="2" borderId="43" xfId="1" applyFont="1" applyFill="1" applyBorder="1" applyAlignment="1" applyProtection="1">
      <alignment horizontal="center"/>
    </xf>
    <xf numFmtId="0" fontId="6" fillId="2" borderId="36" xfId="1" applyFont="1" applyFill="1" applyBorder="1" applyAlignment="1" applyProtection="1">
      <alignment horizontal="center"/>
    </xf>
    <xf numFmtId="0" fontId="6" fillId="2" borderId="37" xfId="1" applyFont="1" applyFill="1" applyBorder="1" applyAlignment="1" applyProtection="1">
      <alignment horizontal="center"/>
    </xf>
    <xf numFmtId="0" fontId="6" fillId="2" borderId="6" xfId="1" applyFont="1" applyFill="1" applyBorder="1" applyAlignment="1" applyProtection="1">
      <alignment horizontal="center"/>
    </xf>
    <xf numFmtId="0" fontId="6" fillId="2" borderId="51" xfId="1" applyFont="1" applyFill="1" applyBorder="1" applyAlignment="1" applyProtection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6" fillId="2" borderId="16" xfId="1" applyFont="1" applyFill="1" applyBorder="1" applyAlignment="1" applyProtection="1">
      <alignment horizontal="center"/>
    </xf>
    <xf numFmtId="0" fontId="6" fillId="2" borderId="49" xfId="1" applyFont="1" applyFill="1" applyBorder="1" applyAlignment="1" applyProtection="1">
      <alignment horizontal="center"/>
    </xf>
    <xf numFmtId="0" fontId="6" fillId="2" borderId="48" xfId="1" applyFont="1" applyFill="1" applyBorder="1" applyAlignment="1" applyProtection="1">
      <alignment horizontal="center"/>
    </xf>
    <xf numFmtId="0" fontId="6" fillId="2" borderId="38" xfId="1" applyFont="1" applyFill="1" applyBorder="1" applyAlignment="1" applyProtection="1">
      <alignment horizontal="center"/>
    </xf>
    <xf numFmtId="0" fontId="4" fillId="2" borderId="36" xfId="1" applyFont="1" applyFill="1" applyBorder="1" applyAlignment="1" applyProtection="1">
      <alignment horizontal="center"/>
    </xf>
    <xf numFmtId="0" fontId="4" fillId="2" borderId="47" xfId="1" applyFont="1" applyFill="1" applyBorder="1" applyAlignment="1" applyProtection="1">
      <alignment horizontal="center"/>
    </xf>
    <xf numFmtId="0" fontId="4" fillId="2" borderId="37" xfId="1" applyFont="1" applyFill="1" applyBorder="1" applyAlignment="1" applyProtection="1">
      <alignment horizontal="center"/>
    </xf>
    <xf numFmtId="3" fontId="64" fillId="0" borderId="12" xfId="1" applyNumberFormat="1" applyFont="1" applyFill="1" applyBorder="1" applyAlignment="1">
      <alignment horizontal="center" vertical="center"/>
    </xf>
  </cellXfs>
  <cellStyles count="942">
    <cellStyle name="???????" xfId="2"/>
    <cellStyle name="????????" xfId="3"/>
    <cellStyle name="???????? [0]" xfId="4"/>
    <cellStyle name="??????????" xfId="5"/>
    <cellStyle name="?????????? [0]" xfId="6"/>
    <cellStyle name="???????????" xfId="7"/>
    <cellStyle name="????????????? ???????????" xfId="8"/>
    <cellStyle name="??????????_1" xfId="9"/>
    <cellStyle name="????????_ ?? 25 ???" xfId="10"/>
    <cellStyle name="???????_ ????.???" xfId="11"/>
    <cellStyle name="??????_ ?? 25 ???" xfId="12"/>
    <cellStyle name="_2008 КХ ЯНГИ ДАСТУР" xfId="13"/>
    <cellStyle name="_21а жадваллар" xfId="14"/>
    <cellStyle name="_308 форма" xfId="15"/>
    <cellStyle name="_ДАСТУР макет" xfId="16"/>
    <cellStyle name="_ДАСТУР обл план 2007-09" xfId="17"/>
    <cellStyle name="_Жиззах" xfId="18"/>
    <cellStyle name="_Кашкадарё" xfId="19"/>
    <cellStyle name="_Наманган-1" xfId="20"/>
    <cellStyle name="_Прогн-НРМ-2010-2013-макет" xfId="21"/>
    <cellStyle name="_Самар_анд" xfId="22"/>
    <cellStyle name="_Сирдарё" xfId="23"/>
    <cellStyle name="_Сурхондарё " xfId="24"/>
    <cellStyle name="_Фаолият" xfId="25"/>
    <cellStyle name="_Фаолият_қишлоқ таррақиёти 82 банд тўлиқ" xfId="26"/>
    <cellStyle name="_Фаолият_ЯИЎ-сервис" xfId="27"/>
    <cellStyle name="_Хоразм" xfId="28"/>
    <cellStyle name="_чора-тадбир свод" xfId="29"/>
    <cellStyle name="_чора-тадбир свод_қишлоқ таррақиёти 82 банд тўлиқ" xfId="30"/>
    <cellStyle name="_чора-тадбир свод_ЯИЎ-сервис" xfId="31"/>
    <cellStyle name="”€ќђќ‘ћ‚›‰" xfId="32"/>
    <cellStyle name="”€ќђќ‘ћ‚›‰ 10" xfId="33"/>
    <cellStyle name="”€ќђќ‘ћ‚›‰ 11" xfId="34"/>
    <cellStyle name="”€ќђќ‘ћ‚›‰ 12" xfId="35"/>
    <cellStyle name="”€ќђќ‘ћ‚›‰ 2" xfId="36"/>
    <cellStyle name="”€ќђќ‘ћ‚›‰ 3" xfId="37"/>
    <cellStyle name="”€ќђќ‘ћ‚›‰ 4" xfId="38"/>
    <cellStyle name="”€ќђќ‘ћ‚›‰ 5" xfId="39"/>
    <cellStyle name="”€ќђќ‘ћ‚›‰ 6" xfId="40"/>
    <cellStyle name="”€ќђќ‘ћ‚›‰ 7" xfId="41"/>
    <cellStyle name="”€ќђќ‘ћ‚›‰ 8" xfId="42"/>
    <cellStyle name="”€ќђќ‘ћ‚›‰ 9" xfId="43"/>
    <cellStyle name="”€ќђќ‘ћ‚›‰_02.11.2007" xfId="44"/>
    <cellStyle name="”€љ‘€ђћ‚ђќќ›‰" xfId="45"/>
    <cellStyle name="”€љ‘€ђћ‚ђќќ›‰ 10" xfId="46"/>
    <cellStyle name="”€љ‘€ђћ‚ђќќ›‰ 11" xfId="47"/>
    <cellStyle name="”€љ‘€ђћ‚ђќќ›‰ 12" xfId="48"/>
    <cellStyle name="”€љ‘€ђћ‚ђќќ›‰ 2" xfId="49"/>
    <cellStyle name="”€љ‘€ђћ‚ђќќ›‰ 3" xfId="50"/>
    <cellStyle name="”€љ‘€ђћ‚ђќќ›‰ 4" xfId="51"/>
    <cellStyle name="”€љ‘€ђћ‚ђќќ›‰ 5" xfId="52"/>
    <cellStyle name="”€љ‘€ђћ‚ђќќ›‰ 6" xfId="53"/>
    <cellStyle name="”€љ‘€ђћ‚ђќќ›‰ 7" xfId="54"/>
    <cellStyle name="”€љ‘€ђћ‚ђќќ›‰ 8" xfId="55"/>
    <cellStyle name="”€љ‘€ђћ‚ђќќ›‰ 9" xfId="56"/>
    <cellStyle name="”€љ‘€ђћ‚ђќќ›‰_02.11.2007" xfId="57"/>
    <cellStyle name="”ќђќ‘ћ‚›‰" xfId="58"/>
    <cellStyle name="”љ‘ђћ‚ђќќ›‰" xfId="59"/>
    <cellStyle name="„…ќ…†ќ›‰" xfId="60"/>
    <cellStyle name="„…ќ…†ќ›‰ 10" xfId="61"/>
    <cellStyle name="„…ќ…†ќ›‰ 11" xfId="62"/>
    <cellStyle name="„…ќ…†ќ›‰ 12" xfId="63"/>
    <cellStyle name="„…ќ…†ќ›‰ 2" xfId="64"/>
    <cellStyle name="„…ќ…†ќ›‰ 3" xfId="65"/>
    <cellStyle name="„…ќ…†ќ›‰ 4" xfId="66"/>
    <cellStyle name="„…ќ…†ќ›‰ 5" xfId="67"/>
    <cellStyle name="„…ќ…†ќ›‰ 6" xfId="68"/>
    <cellStyle name="„…ќ…†ќ›‰ 7" xfId="69"/>
    <cellStyle name="„…ќ…†ќ›‰ 8" xfId="70"/>
    <cellStyle name="„…ќ…†ќ›‰ 9" xfId="71"/>
    <cellStyle name="„…ќ…†ќ›‰_02.11.2007" xfId="72"/>
    <cellStyle name="€’ћѓћ‚›‰" xfId="73"/>
    <cellStyle name="€’ћѓћ‚›‰ 10" xfId="74"/>
    <cellStyle name="€’ћѓћ‚›‰ 11" xfId="75"/>
    <cellStyle name="€’ћѓћ‚›‰ 12" xfId="76"/>
    <cellStyle name="€’ћѓћ‚›‰ 2" xfId="77"/>
    <cellStyle name="€’ћѓћ‚›‰ 3" xfId="78"/>
    <cellStyle name="€’ћѓћ‚›‰ 4" xfId="79"/>
    <cellStyle name="€’ћѓћ‚›‰ 5" xfId="80"/>
    <cellStyle name="€’ћѓћ‚›‰ 6" xfId="81"/>
    <cellStyle name="€’ћѓћ‚›‰ 7" xfId="82"/>
    <cellStyle name="€’ћѓћ‚›‰ 8" xfId="83"/>
    <cellStyle name="€’ћѓћ‚›‰ 9" xfId="84"/>
    <cellStyle name="€’ћѓћ‚›‰_02.11.2007" xfId="85"/>
    <cellStyle name="‡ђѓћ‹ћ‚ћљ1" xfId="86"/>
    <cellStyle name="‡ђѓћ‹ћ‚ћљ1 10" xfId="87"/>
    <cellStyle name="‡ђѓћ‹ћ‚ћљ1 11" xfId="88"/>
    <cellStyle name="‡ђѓћ‹ћ‚ћљ1 12" xfId="89"/>
    <cellStyle name="‡ђѓћ‹ћ‚ћљ1 2" xfId="90"/>
    <cellStyle name="‡ђѓћ‹ћ‚ћљ1 3" xfId="91"/>
    <cellStyle name="‡ђѓћ‹ћ‚ћљ1 4" xfId="92"/>
    <cellStyle name="‡ђѓћ‹ћ‚ћљ1 5" xfId="93"/>
    <cellStyle name="‡ђѓћ‹ћ‚ћљ1 6" xfId="94"/>
    <cellStyle name="‡ђѓћ‹ћ‚ћљ1 7" xfId="95"/>
    <cellStyle name="‡ђѓћ‹ћ‚ћљ1 8" xfId="96"/>
    <cellStyle name="‡ђѓћ‹ћ‚ћљ1 9" xfId="97"/>
    <cellStyle name="‡ђѓћ‹ћ‚ћљ1_02.11.2007" xfId="98"/>
    <cellStyle name="‡ђѓћ‹ћ‚ћљ2" xfId="99"/>
    <cellStyle name="‡ђѓћ‹ћ‚ћљ2 10" xfId="100"/>
    <cellStyle name="‡ђѓћ‹ћ‚ћљ2 11" xfId="101"/>
    <cellStyle name="‡ђѓћ‹ћ‚ћљ2 12" xfId="102"/>
    <cellStyle name="‡ђѓћ‹ћ‚ћљ2 2" xfId="103"/>
    <cellStyle name="‡ђѓћ‹ћ‚ћљ2 3" xfId="104"/>
    <cellStyle name="‡ђѓћ‹ћ‚ћљ2 4" xfId="105"/>
    <cellStyle name="‡ђѓћ‹ћ‚ћљ2 5" xfId="106"/>
    <cellStyle name="‡ђѓћ‹ћ‚ћљ2 6" xfId="107"/>
    <cellStyle name="‡ђѓћ‹ћ‚ћљ2 7" xfId="108"/>
    <cellStyle name="‡ђѓћ‹ћ‚ћљ2 8" xfId="109"/>
    <cellStyle name="‡ђѓћ‹ћ‚ћљ2 9" xfId="110"/>
    <cellStyle name="‡ђѓћ‹ћ‚ћљ2_02.11.2007" xfId="111"/>
    <cellStyle name="’ћѓћ‚›‰" xfId="112"/>
    <cellStyle name="" xfId="113"/>
    <cellStyle name="" xfId="114"/>
    <cellStyle name="" xfId="115"/>
    <cellStyle name="" xfId="116"/>
    <cellStyle name="" xfId="117"/>
    <cellStyle name="1" xfId="118"/>
    <cellStyle name="2" xfId="119"/>
    <cellStyle name="1Normal" xfId="120"/>
    <cellStyle name="1Normal 2" xfId="121"/>
    <cellStyle name="1Normal 3" xfId="122"/>
    <cellStyle name="1Normal 4" xfId="123"/>
    <cellStyle name="1Normal 5" xfId="124"/>
    <cellStyle name="1Normal 6" xfId="125"/>
    <cellStyle name="1Normal 7" xfId="126"/>
    <cellStyle name="1Normal 8" xfId="127"/>
    <cellStyle name="1Normal 9" xfId="128"/>
    <cellStyle name="1Normal_02.11.2007" xfId="129"/>
    <cellStyle name="20% - Accent1" xfId="130"/>
    <cellStyle name="20% - Accent2" xfId="131"/>
    <cellStyle name="20% - Accent3" xfId="132"/>
    <cellStyle name="20% - Accent4" xfId="133"/>
    <cellStyle name="20% - Accent5" xfId="134"/>
    <cellStyle name="20% - Accent6" xfId="135"/>
    <cellStyle name="20% - Акцент1 10" xfId="136"/>
    <cellStyle name="20% - Акцент1 11" xfId="137"/>
    <cellStyle name="20% - Акцент1 12" xfId="138"/>
    <cellStyle name="20% - Акцент1 2" xfId="139"/>
    <cellStyle name="20% - Акцент1 3" xfId="140"/>
    <cellStyle name="20% - Акцент1 4" xfId="141"/>
    <cellStyle name="20% - Акцент1 5" xfId="142"/>
    <cellStyle name="20% - Акцент1 6" xfId="143"/>
    <cellStyle name="20% - Акцент1 7" xfId="144"/>
    <cellStyle name="20% - Акцент1 8" xfId="145"/>
    <cellStyle name="20% - Акцент1 9" xfId="146"/>
    <cellStyle name="20% - Акцент2 10" xfId="147"/>
    <cellStyle name="20% - Акцент2 11" xfId="148"/>
    <cellStyle name="20% - Акцент2 12" xfId="149"/>
    <cellStyle name="20% - Акцент2 2" xfId="150"/>
    <cellStyle name="20% - Акцент2 3" xfId="151"/>
    <cellStyle name="20% - Акцент2 4" xfId="152"/>
    <cellStyle name="20% - Акцент2 5" xfId="153"/>
    <cellStyle name="20% - Акцент2 6" xfId="154"/>
    <cellStyle name="20% - Акцент2 7" xfId="155"/>
    <cellStyle name="20% - Акцент2 8" xfId="156"/>
    <cellStyle name="20% - Акцент2 9" xfId="157"/>
    <cellStyle name="20% - Акцент3 10" xfId="158"/>
    <cellStyle name="20% - Акцент3 11" xfId="159"/>
    <cellStyle name="20% - Акцент3 12" xfId="160"/>
    <cellStyle name="20% - Акцент3 2" xfId="161"/>
    <cellStyle name="20% - Акцент3 3" xfId="162"/>
    <cellStyle name="20% - Акцент3 4" xfId="163"/>
    <cellStyle name="20% - Акцент3 5" xfId="164"/>
    <cellStyle name="20% - Акцент3 6" xfId="165"/>
    <cellStyle name="20% - Акцент3 7" xfId="166"/>
    <cellStyle name="20% - Акцент3 8" xfId="167"/>
    <cellStyle name="20% - Акцент3 9" xfId="168"/>
    <cellStyle name="20% - Акцент4 10" xfId="169"/>
    <cellStyle name="20% - Акцент4 11" xfId="170"/>
    <cellStyle name="20% - Акцент4 12" xfId="171"/>
    <cellStyle name="20% - Акцент4 2" xfId="172"/>
    <cellStyle name="20% - Акцент4 3" xfId="173"/>
    <cellStyle name="20% - Акцент4 4" xfId="174"/>
    <cellStyle name="20% - Акцент4 5" xfId="175"/>
    <cellStyle name="20% - Акцент4 6" xfId="176"/>
    <cellStyle name="20% - Акцент4 7" xfId="177"/>
    <cellStyle name="20% - Акцент4 8" xfId="178"/>
    <cellStyle name="20% - Акцент4 9" xfId="179"/>
    <cellStyle name="20% - Акцент5 10" xfId="180"/>
    <cellStyle name="20% - Акцент5 11" xfId="181"/>
    <cellStyle name="20% - Акцент5 12" xfId="182"/>
    <cellStyle name="20% - Акцент5 2" xfId="183"/>
    <cellStyle name="20% - Акцент5 3" xfId="184"/>
    <cellStyle name="20% - Акцент5 4" xfId="185"/>
    <cellStyle name="20% - Акцент5 5" xfId="186"/>
    <cellStyle name="20% - Акцент5 6" xfId="187"/>
    <cellStyle name="20% - Акцент5 7" xfId="188"/>
    <cellStyle name="20% - Акцент5 8" xfId="189"/>
    <cellStyle name="20% - Акцент5 9" xfId="190"/>
    <cellStyle name="20% - Акцент6 10" xfId="191"/>
    <cellStyle name="20% - Акцент6 11" xfId="192"/>
    <cellStyle name="20% - Акцент6 12" xfId="193"/>
    <cellStyle name="20% - Акцент6 2" xfId="194"/>
    <cellStyle name="20% - Акцент6 3" xfId="195"/>
    <cellStyle name="20% - Акцент6 4" xfId="196"/>
    <cellStyle name="20% - Акцент6 5" xfId="197"/>
    <cellStyle name="20% - Акцент6 6" xfId="198"/>
    <cellStyle name="20% - Акцент6 7" xfId="199"/>
    <cellStyle name="20% - Акцент6 8" xfId="200"/>
    <cellStyle name="20% - Акцент6 9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40% - Акцент1 10" xfId="208"/>
    <cellStyle name="40% - Акцент1 11" xfId="209"/>
    <cellStyle name="40% - Акцент1 12" xfId="210"/>
    <cellStyle name="40% - Акцент1 2" xfId="211"/>
    <cellStyle name="40% - Акцент1 3" xfId="212"/>
    <cellStyle name="40% - Акцент1 4" xfId="213"/>
    <cellStyle name="40% - Акцент1 5" xfId="214"/>
    <cellStyle name="40% - Акцент1 6" xfId="215"/>
    <cellStyle name="40% - Акцент1 7" xfId="216"/>
    <cellStyle name="40% - Акцент1 8" xfId="217"/>
    <cellStyle name="40% - Акцент1 9" xfId="218"/>
    <cellStyle name="40% - Акцент2 10" xfId="219"/>
    <cellStyle name="40% - Акцент2 11" xfId="220"/>
    <cellStyle name="40% - Акцент2 12" xfId="221"/>
    <cellStyle name="40% - Акцент2 2" xfId="222"/>
    <cellStyle name="40% - Акцент2 3" xfId="223"/>
    <cellStyle name="40% - Акцент2 4" xfId="224"/>
    <cellStyle name="40% - Акцент2 5" xfId="225"/>
    <cellStyle name="40% - Акцент2 6" xfId="226"/>
    <cellStyle name="40% - Акцент2 7" xfId="227"/>
    <cellStyle name="40% - Акцент2 8" xfId="228"/>
    <cellStyle name="40% - Акцент2 9" xfId="229"/>
    <cellStyle name="40% - Акцент3 10" xfId="230"/>
    <cellStyle name="40% - Акцент3 11" xfId="231"/>
    <cellStyle name="40% - Акцент3 12" xfId="232"/>
    <cellStyle name="40% - Акцент3 2" xfId="233"/>
    <cellStyle name="40% - Акцент3 3" xfId="234"/>
    <cellStyle name="40% - Акцент3 4" xfId="235"/>
    <cellStyle name="40% - Акцент3 5" xfId="236"/>
    <cellStyle name="40% - Акцент3 6" xfId="237"/>
    <cellStyle name="40% - Акцент3 7" xfId="238"/>
    <cellStyle name="40% - Акцент3 8" xfId="239"/>
    <cellStyle name="40% - Акцент3 9" xfId="240"/>
    <cellStyle name="40% - Акцент4 10" xfId="241"/>
    <cellStyle name="40% - Акцент4 11" xfId="242"/>
    <cellStyle name="40% - Акцент4 12" xfId="243"/>
    <cellStyle name="40% - Акцент4 2" xfId="244"/>
    <cellStyle name="40% - Акцент4 3" xfId="245"/>
    <cellStyle name="40% - Акцент4 4" xfId="246"/>
    <cellStyle name="40% - Акцент4 5" xfId="247"/>
    <cellStyle name="40% - Акцент4 6" xfId="248"/>
    <cellStyle name="40% - Акцент4 7" xfId="249"/>
    <cellStyle name="40% - Акцент4 8" xfId="250"/>
    <cellStyle name="40% - Акцент4 9" xfId="251"/>
    <cellStyle name="40% - Акцент5 10" xfId="252"/>
    <cellStyle name="40% - Акцент5 11" xfId="253"/>
    <cellStyle name="40% - Акцент5 12" xfId="254"/>
    <cellStyle name="40% - Акцент5 2" xfId="255"/>
    <cellStyle name="40% - Акцент5 3" xfId="256"/>
    <cellStyle name="40% - Акцент5 4" xfId="257"/>
    <cellStyle name="40% - Акцент5 5" xfId="258"/>
    <cellStyle name="40% - Акцент5 6" xfId="259"/>
    <cellStyle name="40% - Акцент5 7" xfId="260"/>
    <cellStyle name="40% - Акцент5 8" xfId="261"/>
    <cellStyle name="40% - Акцент5 9" xfId="262"/>
    <cellStyle name="40% - Акцент6 10" xfId="263"/>
    <cellStyle name="40% - Акцент6 11" xfId="264"/>
    <cellStyle name="40% - Акцент6 12" xfId="265"/>
    <cellStyle name="40% - Акцент6 2" xfId="266"/>
    <cellStyle name="40% - Акцент6 3" xfId="267"/>
    <cellStyle name="40% - Акцент6 4" xfId="268"/>
    <cellStyle name="40% - Акцент6 5" xfId="269"/>
    <cellStyle name="40% - Акцент6 6" xfId="270"/>
    <cellStyle name="40% - Акцент6 7" xfId="271"/>
    <cellStyle name="40% - Акцент6 8" xfId="272"/>
    <cellStyle name="40% - Акцент6 9" xfId="273"/>
    <cellStyle name="60% - Accent1" xfId="274"/>
    <cellStyle name="60% - Accent2" xfId="275"/>
    <cellStyle name="60% - Accent3" xfId="276"/>
    <cellStyle name="60% - Accent4" xfId="277"/>
    <cellStyle name="60% - Accent5" xfId="278"/>
    <cellStyle name="60% - Accent6" xfId="279"/>
    <cellStyle name="60% - Акцент1 10" xfId="280"/>
    <cellStyle name="60% - Акцент1 11" xfId="281"/>
    <cellStyle name="60% - Акцент1 12" xfId="282"/>
    <cellStyle name="60% - Акцент1 2" xfId="283"/>
    <cellStyle name="60% - Акцент1 3" xfId="284"/>
    <cellStyle name="60% - Акцент1 4" xfId="285"/>
    <cellStyle name="60% - Акцент1 5" xfId="286"/>
    <cellStyle name="60% - Акцент1 6" xfId="287"/>
    <cellStyle name="60% - Акцент1 7" xfId="288"/>
    <cellStyle name="60% - Акцент1 8" xfId="289"/>
    <cellStyle name="60% - Акцент1 9" xfId="290"/>
    <cellStyle name="60% - Акцент2 10" xfId="291"/>
    <cellStyle name="60% - Акцент2 11" xfId="292"/>
    <cellStyle name="60% - Акцент2 12" xfId="293"/>
    <cellStyle name="60% - Акцент2 2" xfId="294"/>
    <cellStyle name="60% - Акцент2 3" xfId="295"/>
    <cellStyle name="60% - Акцент2 4" xfId="296"/>
    <cellStyle name="60% - Акцент2 5" xfId="297"/>
    <cellStyle name="60% - Акцент2 6" xfId="298"/>
    <cellStyle name="60% - Акцент2 7" xfId="299"/>
    <cellStyle name="60% - Акцент2 8" xfId="300"/>
    <cellStyle name="60% - Акцент2 9" xfId="301"/>
    <cellStyle name="60% - Акцент3 10" xfId="302"/>
    <cellStyle name="60% - Акцент3 11" xfId="303"/>
    <cellStyle name="60% - Акцент3 12" xfId="304"/>
    <cellStyle name="60% - Акцент3 2" xfId="305"/>
    <cellStyle name="60% - Акцент3 3" xfId="306"/>
    <cellStyle name="60% - Акцент3 4" xfId="307"/>
    <cellStyle name="60% - Акцент3 5" xfId="308"/>
    <cellStyle name="60% - Акцент3 6" xfId="309"/>
    <cellStyle name="60% - Акцент3 7" xfId="310"/>
    <cellStyle name="60% - Акцент3 8" xfId="311"/>
    <cellStyle name="60% - Акцент3 9" xfId="312"/>
    <cellStyle name="60% - Акцент4 10" xfId="313"/>
    <cellStyle name="60% - Акцент4 11" xfId="314"/>
    <cellStyle name="60% - Акцент4 12" xfId="315"/>
    <cellStyle name="60% - Акцент4 2" xfId="316"/>
    <cellStyle name="60% - Акцент4 3" xfId="317"/>
    <cellStyle name="60% - Акцент4 4" xfId="318"/>
    <cellStyle name="60% - Акцент4 5" xfId="319"/>
    <cellStyle name="60% - Акцент4 6" xfId="320"/>
    <cellStyle name="60% - Акцент4 7" xfId="321"/>
    <cellStyle name="60% - Акцент4 8" xfId="322"/>
    <cellStyle name="60% - Акцент4 9" xfId="323"/>
    <cellStyle name="60% - Акцент5 10" xfId="324"/>
    <cellStyle name="60% - Акцент5 11" xfId="325"/>
    <cellStyle name="60% - Акцент5 12" xfId="326"/>
    <cellStyle name="60% - Акцент5 2" xfId="327"/>
    <cellStyle name="60% - Акцент5 3" xfId="328"/>
    <cellStyle name="60% - Акцент5 4" xfId="329"/>
    <cellStyle name="60% - Акцент5 5" xfId="330"/>
    <cellStyle name="60% - Акцент5 6" xfId="331"/>
    <cellStyle name="60% - Акцент5 7" xfId="332"/>
    <cellStyle name="60% - Акцент5 8" xfId="333"/>
    <cellStyle name="60% - Акцент5 9" xfId="334"/>
    <cellStyle name="60% - Акцент6 10" xfId="335"/>
    <cellStyle name="60% - Акцент6 11" xfId="336"/>
    <cellStyle name="60% - Акцент6 12" xfId="337"/>
    <cellStyle name="60% - Акцент6 2" xfId="338"/>
    <cellStyle name="60% - Акцент6 3" xfId="339"/>
    <cellStyle name="60% - Акцент6 4" xfId="340"/>
    <cellStyle name="60% - Акцент6 5" xfId="341"/>
    <cellStyle name="60% - Акцент6 6" xfId="342"/>
    <cellStyle name="60% - Акцент6 7" xfId="343"/>
    <cellStyle name="60% - Акцент6 8" xfId="344"/>
    <cellStyle name="60% - Акцент6 9" xfId="345"/>
    <cellStyle name="Aaia?iue" xfId="346"/>
    <cellStyle name="Aaia?iue [0]" xfId="347"/>
    <cellStyle name="Aaia?iue_,, 255 якуни" xfId="348"/>
    <cellStyle name="Accent1" xfId="349"/>
    <cellStyle name="Accent1 - 20%" xfId="350"/>
    <cellStyle name="Accent1 - 40%" xfId="351"/>
    <cellStyle name="Accent1 - 60%" xfId="352"/>
    <cellStyle name="Accent1_прил№7" xfId="353"/>
    <cellStyle name="Accent2" xfId="354"/>
    <cellStyle name="Accent2 - 20%" xfId="355"/>
    <cellStyle name="Accent2 - 40%" xfId="356"/>
    <cellStyle name="Accent2 - 60%" xfId="357"/>
    <cellStyle name="Accent2_прил№7" xfId="358"/>
    <cellStyle name="Accent3" xfId="359"/>
    <cellStyle name="Accent3 - 20%" xfId="360"/>
    <cellStyle name="Accent3 - 40%" xfId="361"/>
    <cellStyle name="Accent3 - 60%" xfId="362"/>
    <cellStyle name="Accent3_прил№7" xfId="363"/>
    <cellStyle name="Accent4" xfId="364"/>
    <cellStyle name="Accent4 - 20%" xfId="365"/>
    <cellStyle name="Accent4 - 40%" xfId="366"/>
    <cellStyle name="Accent4 - 60%" xfId="367"/>
    <cellStyle name="Accent4_прил№7" xfId="368"/>
    <cellStyle name="Accent5" xfId="369"/>
    <cellStyle name="Accent5 - 20%" xfId="370"/>
    <cellStyle name="Accent5 - 40%" xfId="371"/>
    <cellStyle name="Accent5 - 60%" xfId="372"/>
    <cellStyle name="Accent5_прил№7" xfId="373"/>
    <cellStyle name="Accent6" xfId="374"/>
    <cellStyle name="Accent6 - 20%" xfId="375"/>
    <cellStyle name="Accent6 - 40%" xfId="376"/>
    <cellStyle name="Accent6 - 60%" xfId="377"/>
    <cellStyle name="Accent6_прил№7" xfId="378"/>
    <cellStyle name="Acdldnnueer" xfId="379"/>
    <cellStyle name="Alilciue [0]_ 2003 aia" xfId="380"/>
    <cellStyle name="Alilciue_ 2003 aia" xfId="381"/>
    <cellStyle name="Bad" xfId="382"/>
    <cellStyle name="Calculation" xfId="383"/>
    <cellStyle name="Check Cell" xfId="384"/>
    <cellStyle name="Comma" xfId="385"/>
    <cellStyle name="Comma [0]_Sheet1 (2)" xfId="386"/>
    <cellStyle name="Comma_Balance" xfId="387"/>
    <cellStyle name="Comma0" xfId="388"/>
    <cellStyle name="Comma0 10" xfId="389"/>
    <cellStyle name="Comma0 2" xfId="390"/>
    <cellStyle name="Comma0 3" xfId="391"/>
    <cellStyle name="Comma0 4" xfId="392"/>
    <cellStyle name="Comma0 5" xfId="393"/>
    <cellStyle name="Comma0 6" xfId="394"/>
    <cellStyle name="Comma0 7" xfId="395"/>
    <cellStyle name="Comma0 8" xfId="396"/>
    <cellStyle name="Comma0 9" xfId="397"/>
    <cellStyle name="Comma0_NGMK" xfId="398"/>
    <cellStyle name="Currency" xfId="399"/>
    <cellStyle name="Currency [0]_Assump." xfId="400"/>
    <cellStyle name="Currency_Assump." xfId="401"/>
    <cellStyle name="Currency0" xfId="402"/>
    <cellStyle name="Currency0 10" xfId="403"/>
    <cellStyle name="Currency0 2" xfId="404"/>
    <cellStyle name="Currency0 3" xfId="405"/>
    <cellStyle name="Currency0 4" xfId="406"/>
    <cellStyle name="Currency0 5" xfId="407"/>
    <cellStyle name="Currency0 6" xfId="408"/>
    <cellStyle name="Currency0 7" xfId="409"/>
    <cellStyle name="Currency0 8" xfId="410"/>
    <cellStyle name="Currency0 9" xfId="411"/>
    <cellStyle name="Currency0_NGMK" xfId="412"/>
    <cellStyle name="Date" xfId="413"/>
    <cellStyle name="Date 2" xfId="414"/>
    <cellStyle name="Date 3" xfId="415"/>
    <cellStyle name="Date 4" xfId="416"/>
    <cellStyle name="Date 5" xfId="417"/>
    <cellStyle name="Date 6" xfId="418"/>
    <cellStyle name="Date 7" xfId="419"/>
    <cellStyle name="Date 8" xfId="420"/>
    <cellStyle name="Date 9" xfId="421"/>
    <cellStyle name="Date_NGMK" xfId="422"/>
    <cellStyle name="Emphasis 1" xfId="423"/>
    <cellStyle name="Emphasis 2" xfId="424"/>
    <cellStyle name="Emphasis 3" xfId="425"/>
    <cellStyle name="Euro" xfId="426"/>
    <cellStyle name="Explanatory Text" xfId="427"/>
    <cellStyle name="Fixed" xfId="428"/>
    <cellStyle name="Fixed 2" xfId="429"/>
    <cellStyle name="Fixed 3" xfId="430"/>
    <cellStyle name="Fixed 4" xfId="431"/>
    <cellStyle name="Fixed 5" xfId="432"/>
    <cellStyle name="Fixed 6" xfId="433"/>
    <cellStyle name="Fixed 7" xfId="434"/>
    <cellStyle name="Fixed 8" xfId="435"/>
    <cellStyle name="Fixed 9" xfId="436"/>
    <cellStyle name="Fixed_NGMK" xfId="437"/>
    <cellStyle name="Good" xfId="438"/>
    <cellStyle name="Heading 1" xfId="439"/>
    <cellStyle name="Heading 1 2" xfId="440"/>
    <cellStyle name="Heading 1 3" xfId="441"/>
    <cellStyle name="Heading 1 4" xfId="442"/>
    <cellStyle name="Heading 1 5" xfId="443"/>
    <cellStyle name="Heading 1 6" xfId="444"/>
    <cellStyle name="Heading 1 7" xfId="445"/>
    <cellStyle name="Heading 1 8" xfId="446"/>
    <cellStyle name="Heading 1 9" xfId="447"/>
    <cellStyle name="Heading 1_NGMK" xfId="448"/>
    <cellStyle name="Heading 2" xfId="449"/>
    <cellStyle name="Heading 2 2" xfId="450"/>
    <cellStyle name="Heading 2 3" xfId="451"/>
    <cellStyle name="Heading 2 4" xfId="452"/>
    <cellStyle name="Heading 2 5" xfId="453"/>
    <cellStyle name="Heading 2 6" xfId="454"/>
    <cellStyle name="Heading 2 7" xfId="455"/>
    <cellStyle name="Heading 2 8" xfId="456"/>
    <cellStyle name="Heading 2 9" xfId="457"/>
    <cellStyle name="Heading 2_NGMK" xfId="458"/>
    <cellStyle name="Heading 3" xfId="459"/>
    <cellStyle name="Heading 4" xfId="460"/>
    <cellStyle name="I?ioaioiue" xfId="461"/>
    <cellStyle name="I`u?iue_Deri98_D" xfId="462"/>
    <cellStyle name="Iau?iue" xfId="463"/>
    <cellStyle name="Ineduararr?n? acdldnnueer" xfId="464"/>
    <cellStyle name="Input" xfId="465"/>
    <cellStyle name="Linked Cell" xfId="466"/>
    <cellStyle name="Neutral" xfId="467"/>
    <cellStyle name="Norma11l" xfId="468"/>
    <cellStyle name="Norma11l 2" xfId="469"/>
    <cellStyle name="Norma11l 3" xfId="470"/>
    <cellStyle name="Norma11l 4" xfId="471"/>
    <cellStyle name="Norma11l 5" xfId="472"/>
    <cellStyle name="Norma11l 6" xfId="473"/>
    <cellStyle name="Norma11l 7" xfId="474"/>
    <cellStyle name="Norma11l 8" xfId="475"/>
    <cellStyle name="Norma11l 9" xfId="476"/>
    <cellStyle name="Norma11l_02.11.2007" xfId="477"/>
    <cellStyle name="normal" xfId="478"/>
    <cellStyle name="normal 10" xfId="479"/>
    <cellStyle name="normal 2" xfId="480"/>
    <cellStyle name="normal 3" xfId="481"/>
    <cellStyle name="normal 4" xfId="482"/>
    <cellStyle name="normal 5" xfId="483"/>
    <cellStyle name="normal 6" xfId="484"/>
    <cellStyle name="normal 7" xfId="485"/>
    <cellStyle name="normal 8" xfId="486"/>
    <cellStyle name="normal 9" xfId="487"/>
    <cellStyle name="Normal_2003 6 ойлик хисоботлари xls" xfId="488"/>
    <cellStyle name="Note" xfId="489"/>
    <cellStyle name="Nun??c [0]_ 2003 aia" xfId="490"/>
    <cellStyle name="Nun??c_ 2003 aia" xfId="491"/>
    <cellStyle name="Ociriniaue [0]_1" xfId="492"/>
    <cellStyle name="Ociriniaue_1" xfId="493"/>
    <cellStyle name="Oeiainiaue" xfId="494"/>
    <cellStyle name="Oeiainiaue [0]" xfId="495"/>
    <cellStyle name="Oeiainiaue_,, 255 якуни" xfId="496"/>
    <cellStyle name="Output" xfId="497"/>
    <cellStyle name="Percent" xfId="498"/>
    <cellStyle name="s]_x000d__x000a_;load=rrtsklst.exe_x000d__x000a_Beep=yes_x000d__x000a_NullPort=None_x000d__x000a_BorderWidth=3_x000d__x000a_CursorBlinkRate=530_x000d__x000a_DoubleClickSpeed=452_x000d__x000a_Programs=com" xfId="499"/>
    <cellStyle name="Sheet Title" xfId="500"/>
    <cellStyle name="Title" xfId="501"/>
    <cellStyle name="Total" xfId="502"/>
    <cellStyle name="Total 2" xfId="503"/>
    <cellStyle name="Total 3" xfId="504"/>
    <cellStyle name="Total 4" xfId="505"/>
    <cellStyle name="Total 5" xfId="506"/>
    <cellStyle name="Total 6" xfId="507"/>
    <cellStyle name="Total 7" xfId="508"/>
    <cellStyle name="Total 8" xfId="509"/>
    <cellStyle name="Total 9" xfId="510"/>
    <cellStyle name="Total_NGMK" xfId="511"/>
    <cellStyle name="Warning Text" xfId="512"/>
    <cellStyle name="Акцент1 10" xfId="513"/>
    <cellStyle name="Акцент1 11" xfId="514"/>
    <cellStyle name="Акцент1 12" xfId="515"/>
    <cellStyle name="Акцент1 2" xfId="516"/>
    <cellStyle name="Акцент1 3" xfId="517"/>
    <cellStyle name="Акцент1 4" xfId="518"/>
    <cellStyle name="Акцент1 5" xfId="519"/>
    <cellStyle name="Акцент1 6" xfId="520"/>
    <cellStyle name="Акцент1 7" xfId="521"/>
    <cellStyle name="Акцент1 8" xfId="522"/>
    <cellStyle name="Акцент1 9" xfId="523"/>
    <cellStyle name="Акцент2 10" xfId="524"/>
    <cellStyle name="Акцент2 11" xfId="525"/>
    <cellStyle name="Акцент2 12" xfId="526"/>
    <cellStyle name="Акцент2 2" xfId="527"/>
    <cellStyle name="Акцент2 3" xfId="528"/>
    <cellStyle name="Акцент2 4" xfId="529"/>
    <cellStyle name="Акцент2 5" xfId="530"/>
    <cellStyle name="Акцент2 6" xfId="531"/>
    <cellStyle name="Акцент2 7" xfId="532"/>
    <cellStyle name="Акцент2 8" xfId="533"/>
    <cellStyle name="Акцент2 9" xfId="534"/>
    <cellStyle name="Акцент3 10" xfId="535"/>
    <cellStyle name="Акцент3 11" xfId="536"/>
    <cellStyle name="Акцент3 12" xfId="537"/>
    <cellStyle name="Акцент3 2" xfId="538"/>
    <cellStyle name="Акцент3 3" xfId="539"/>
    <cellStyle name="Акцент3 4" xfId="540"/>
    <cellStyle name="Акцент3 5" xfId="541"/>
    <cellStyle name="Акцент3 6" xfId="542"/>
    <cellStyle name="Акцент3 7" xfId="543"/>
    <cellStyle name="Акцент3 8" xfId="544"/>
    <cellStyle name="Акцент3 9" xfId="545"/>
    <cellStyle name="Акцент4 10" xfId="546"/>
    <cellStyle name="Акцент4 11" xfId="547"/>
    <cellStyle name="Акцент4 12" xfId="548"/>
    <cellStyle name="Акцент4 2" xfId="549"/>
    <cellStyle name="Акцент4 3" xfId="550"/>
    <cellStyle name="Акцент4 4" xfId="551"/>
    <cellStyle name="Акцент4 5" xfId="552"/>
    <cellStyle name="Акцент4 6" xfId="553"/>
    <cellStyle name="Акцент4 7" xfId="554"/>
    <cellStyle name="Акцент4 8" xfId="555"/>
    <cellStyle name="Акцент4 9" xfId="556"/>
    <cellStyle name="Акцент5 10" xfId="557"/>
    <cellStyle name="Акцент5 11" xfId="558"/>
    <cellStyle name="Акцент5 12" xfId="559"/>
    <cellStyle name="Акцент5 2" xfId="560"/>
    <cellStyle name="Акцент5 3" xfId="561"/>
    <cellStyle name="Акцент5 4" xfId="562"/>
    <cellStyle name="Акцент5 5" xfId="563"/>
    <cellStyle name="Акцент5 6" xfId="564"/>
    <cellStyle name="Акцент5 7" xfId="565"/>
    <cellStyle name="Акцент5 8" xfId="566"/>
    <cellStyle name="Акцент5 9" xfId="567"/>
    <cellStyle name="Акцент6 10" xfId="568"/>
    <cellStyle name="Акцент6 11" xfId="569"/>
    <cellStyle name="Акцент6 12" xfId="570"/>
    <cellStyle name="Акцент6 2" xfId="571"/>
    <cellStyle name="Акцент6 3" xfId="572"/>
    <cellStyle name="Акцент6 4" xfId="573"/>
    <cellStyle name="Акцент6 5" xfId="574"/>
    <cellStyle name="Акцент6 6" xfId="575"/>
    <cellStyle name="Акцент6 7" xfId="576"/>
    <cellStyle name="Акцент6 8" xfId="577"/>
    <cellStyle name="Акцент6 9" xfId="578"/>
    <cellStyle name="Баланс ИПК &quot;ШАРК&quot; (в рублях)" xfId="579"/>
    <cellStyle name="Баланс ИПК &quot;ШАРК&quot; (в рублях) 10" xfId="580"/>
    <cellStyle name="Баланс ИПК &quot;ШАРК&quot; (в рублях) 11" xfId="581"/>
    <cellStyle name="Баланс ИПК &quot;ШАРК&quot; (в рублях) 2" xfId="582"/>
    <cellStyle name="Баланс ИПК &quot;ШАРК&quot; (в рублях) 3" xfId="583"/>
    <cellStyle name="Баланс ИПК &quot;ШАРК&quot; (в рублях) 4" xfId="584"/>
    <cellStyle name="Баланс ИПК &quot;ШАРК&quot; (в рублях) 5" xfId="585"/>
    <cellStyle name="Баланс ИПК &quot;ШАРК&quot; (в рублях) 6" xfId="586"/>
    <cellStyle name="Баланс ИПК &quot;ШАРК&quot; (в рублях) 7" xfId="587"/>
    <cellStyle name="Баланс ИПК &quot;ШАРК&quot; (в рублях) 8" xfId="588"/>
    <cellStyle name="Баланс ИПК &quot;ШАРК&quot; (в рублях) 9" xfId="589"/>
    <cellStyle name="Баланс ИПК &quot;ШАРК&quot; (в рублях)_02.11.2007" xfId="590"/>
    <cellStyle name="Ввод  10" xfId="591"/>
    <cellStyle name="Ввод  11" xfId="592"/>
    <cellStyle name="Ввод  12" xfId="593"/>
    <cellStyle name="Ввод  2" xfId="594"/>
    <cellStyle name="Ввод  3" xfId="595"/>
    <cellStyle name="Ввод  4" xfId="596"/>
    <cellStyle name="Ввод  5" xfId="597"/>
    <cellStyle name="Ввод  6" xfId="598"/>
    <cellStyle name="Ввод  7" xfId="599"/>
    <cellStyle name="Ввод  8" xfId="600"/>
    <cellStyle name="Ввод  9" xfId="601"/>
    <cellStyle name="Вывод 10" xfId="602"/>
    <cellStyle name="Вывод 11" xfId="603"/>
    <cellStyle name="Вывод 12" xfId="604"/>
    <cellStyle name="Вывод 2" xfId="605"/>
    <cellStyle name="Вывод 3" xfId="606"/>
    <cellStyle name="Вывод 4" xfId="607"/>
    <cellStyle name="Вывод 5" xfId="608"/>
    <cellStyle name="Вывод 6" xfId="609"/>
    <cellStyle name="Вывод 7" xfId="610"/>
    <cellStyle name="Вывод 8" xfId="611"/>
    <cellStyle name="Вывод 9" xfId="612"/>
    <cellStyle name="Вычисление 10" xfId="613"/>
    <cellStyle name="Вычисление 11" xfId="614"/>
    <cellStyle name="Вычисление 12" xfId="615"/>
    <cellStyle name="Вычисление 2" xfId="616"/>
    <cellStyle name="Вычисление 3" xfId="617"/>
    <cellStyle name="Вычисление 4" xfId="618"/>
    <cellStyle name="Вычисление 5" xfId="619"/>
    <cellStyle name="Вычисление 6" xfId="620"/>
    <cellStyle name="Вычисление 7" xfId="621"/>
    <cellStyle name="Вычисление 8" xfId="622"/>
    <cellStyle name="Вычисление 9" xfId="623"/>
    <cellStyle name="Дата" xfId="624"/>
    <cellStyle name="Денежный 2" xfId="625"/>
    <cellStyle name="Денежный 3" xfId="626"/>
    <cellStyle name="ельводхоз" xfId="627"/>
    <cellStyle name="Заголовок" xfId="628"/>
    <cellStyle name="Заголовок 1 10" xfId="629"/>
    <cellStyle name="Заголовок 1 11" xfId="630"/>
    <cellStyle name="Заголовок 1 12" xfId="631"/>
    <cellStyle name="Заголовок 1 2" xfId="632"/>
    <cellStyle name="Заголовок 1 3" xfId="633"/>
    <cellStyle name="Заголовок 1 4" xfId="634"/>
    <cellStyle name="Заголовок 1 5" xfId="635"/>
    <cellStyle name="Заголовок 1 6" xfId="636"/>
    <cellStyle name="Заголовок 1 7" xfId="637"/>
    <cellStyle name="Заголовок 1 8" xfId="638"/>
    <cellStyle name="Заголовок 1 9" xfId="639"/>
    <cellStyle name="Заголовок 2 10" xfId="640"/>
    <cellStyle name="Заголовок 2 11" xfId="641"/>
    <cellStyle name="Заголовок 2 12" xfId="642"/>
    <cellStyle name="Заголовок 2 2" xfId="643"/>
    <cellStyle name="Заголовок 2 3" xfId="644"/>
    <cellStyle name="Заголовок 2 4" xfId="645"/>
    <cellStyle name="Заголовок 2 5" xfId="646"/>
    <cellStyle name="Заголовок 2 6" xfId="647"/>
    <cellStyle name="Заголовок 2 7" xfId="648"/>
    <cellStyle name="Заголовок 2 8" xfId="649"/>
    <cellStyle name="Заголовок 2 9" xfId="650"/>
    <cellStyle name="Заголовок 3 10" xfId="651"/>
    <cellStyle name="Заголовок 3 11" xfId="652"/>
    <cellStyle name="Заголовок 3 12" xfId="653"/>
    <cellStyle name="Заголовок 3 2" xfId="654"/>
    <cellStyle name="Заголовок 3 3" xfId="655"/>
    <cellStyle name="Заголовок 3 4" xfId="656"/>
    <cellStyle name="Заголовок 3 5" xfId="657"/>
    <cellStyle name="Заголовок 3 6" xfId="658"/>
    <cellStyle name="Заголовок 3 7" xfId="659"/>
    <cellStyle name="Заголовок 3 8" xfId="660"/>
    <cellStyle name="Заголовок 3 9" xfId="661"/>
    <cellStyle name="Заголовок 4 10" xfId="662"/>
    <cellStyle name="Заголовок 4 11" xfId="663"/>
    <cellStyle name="Заголовок 4 12" xfId="664"/>
    <cellStyle name="Заголовок 4 2" xfId="665"/>
    <cellStyle name="Заголовок 4 3" xfId="666"/>
    <cellStyle name="Заголовок 4 4" xfId="667"/>
    <cellStyle name="Заголовок 4 5" xfId="668"/>
    <cellStyle name="Заголовок 4 6" xfId="669"/>
    <cellStyle name="Заголовок 4 7" xfId="670"/>
    <cellStyle name="Заголовок 4 8" xfId="671"/>
    <cellStyle name="Заголовок 4 9" xfId="672"/>
    <cellStyle name="Итог 10" xfId="673"/>
    <cellStyle name="Итог 11" xfId="674"/>
    <cellStyle name="Итог 12" xfId="675"/>
    <cellStyle name="Итог 2" xfId="676"/>
    <cellStyle name="Итог 3" xfId="677"/>
    <cellStyle name="Итог 4" xfId="678"/>
    <cellStyle name="Итог 5" xfId="679"/>
    <cellStyle name="Итог 6" xfId="680"/>
    <cellStyle name="Итог 7" xfId="681"/>
    <cellStyle name="Итог 8" xfId="682"/>
    <cellStyle name="Итог 9" xfId="683"/>
    <cellStyle name="Контрольная ячейка 10" xfId="684"/>
    <cellStyle name="Контрольная ячейка 11" xfId="685"/>
    <cellStyle name="Контрольная ячейка 12" xfId="686"/>
    <cellStyle name="Контрольная ячейка 2" xfId="687"/>
    <cellStyle name="Контрольная ячейка 3" xfId="688"/>
    <cellStyle name="Контрольная ячейка 4" xfId="689"/>
    <cellStyle name="Контрольная ячейка 5" xfId="690"/>
    <cellStyle name="Контрольная ячейка 6" xfId="691"/>
    <cellStyle name="Контрольная ячейка 7" xfId="692"/>
    <cellStyle name="Контрольная ячейка 8" xfId="693"/>
    <cellStyle name="Контрольная ячейка 9" xfId="694"/>
    <cellStyle name="Название 10" xfId="695"/>
    <cellStyle name="Название 11" xfId="696"/>
    <cellStyle name="Название 12" xfId="697"/>
    <cellStyle name="Название 13" xfId="698"/>
    <cellStyle name="Название 2" xfId="699"/>
    <cellStyle name="Название 3" xfId="700"/>
    <cellStyle name="Название 4" xfId="701"/>
    <cellStyle name="Название 5" xfId="702"/>
    <cellStyle name="Название 6" xfId="703"/>
    <cellStyle name="Название 7" xfId="704"/>
    <cellStyle name="Название 8" xfId="705"/>
    <cellStyle name="Название 9" xfId="706"/>
    <cellStyle name="Нейтральный 10" xfId="707"/>
    <cellStyle name="Нейтральный 11" xfId="708"/>
    <cellStyle name="Нейтральный 12" xfId="709"/>
    <cellStyle name="Нейтральный 2" xfId="710"/>
    <cellStyle name="Нейтральный 3" xfId="711"/>
    <cellStyle name="Нейтральный 4" xfId="712"/>
    <cellStyle name="Нейтральный 5" xfId="713"/>
    <cellStyle name="Нейтральный 6" xfId="714"/>
    <cellStyle name="Нейтральный 7" xfId="715"/>
    <cellStyle name="Нейтральный 8" xfId="716"/>
    <cellStyle name="Нейтральный 9" xfId="717"/>
    <cellStyle name="Обычный" xfId="0" builtinId="0"/>
    <cellStyle name="Обычный (+/-)" xfId="718"/>
    <cellStyle name="Обычный 10" xfId="719"/>
    <cellStyle name="Обычный 11" xfId="720"/>
    <cellStyle name="Обычный 11 2" xfId="721"/>
    <cellStyle name="Обычный 12" xfId="722"/>
    <cellStyle name="Обычный 13" xfId="723"/>
    <cellStyle name="Обычный 14" xfId="724"/>
    <cellStyle name="Обычный 15" xfId="725"/>
    <cellStyle name="Обычный 16" xfId="726"/>
    <cellStyle name="Обычный 16 2" xfId="727"/>
    <cellStyle name="Обычный 16_Иловалар" xfId="728"/>
    <cellStyle name="Обычный 17" xfId="729"/>
    <cellStyle name="Обычный 18" xfId="730"/>
    <cellStyle name="Обычный 19" xfId="731"/>
    <cellStyle name="Обычный 2" xfId="1"/>
    <cellStyle name="Обычный 2 10" xfId="732"/>
    <cellStyle name="Обычный 2 11" xfId="733"/>
    <cellStyle name="Обычный 2 12" xfId="734"/>
    <cellStyle name="Обычный 2 13" xfId="735"/>
    <cellStyle name="Обычный 2 14" xfId="736"/>
    <cellStyle name="Обычный 2 15" xfId="737"/>
    <cellStyle name="Обычный 2 16" xfId="738"/>
    <cellStyle name="Обычный 2 17" xfId="739"/>
    <cellStyle name="Обычный 2 18" xfId="740"/>
    <cellStyle name="Обычный 2 19" xfId="741"/>
    <cellStyle name="Обычный 2 2" xfId="742"/>
    <cellStyle name="Обычный 2 2 2" xfId="743"/>
    <cellStyle name="Обычный 2 2 3" xfId="744"/>
    <cellStyle name="Обычный 2 2 4" xfId="745"/>
    <cellStyle name="Обычный 2 2 5" xfId="746"/>
    <cellStyle name="Обычный 2 2_02.11.2007" xfId="747"/>
    <cellStyle name="Обычный 2 3" xfId="748"/>
    <cellStyle name="Обычный 2 3 2" xfId="749"/>
    <cellStyle name="Обычный 2 3_Иловалар" xfId="750"/>
    <cellStyle name="Обычный 2 4" xfId="751"/>
    <cellStyle name="Обычный 2 5" xfId="752"/>
    <cellStyle name="Обычный 2 6" xfId="753"/>
    <cellStyle name="Обычный 2 7" xfId="754"/>
    <cellStyle name="Обычный 2 8" xfId="755"/>
    <cellStyle name="Обычный 2 9" xfId="756"/>
    <cellStyle name="Обычный 2_02.11.2007" xfId="757"/>
    <cellStyle name="Обычный 20" xfId="758"/>
    <cellStyle name="Обычный 21" xfId="759"/>
    <cellStyle name="Обычный 22" xfId="760"/>
    <cellStyle name="Обычный 23" xfId="761"/>
    <cellStyle name="Обычный 24" xfId="762"/>
    <cellStyle name="Обычный 25" xfId="763"/>
    <cellStyle name="Обычный 26" xfId="764"/>
    <cellStyle name="Обычный 27" xfId="765"/>
    <cellStyle name="Обычный 28" xfId="766"/>
    <cellStyle name="Обычный 29" xfId="767"/>
    <cellStyle name="Обычный 3" xfId="768"/>
    <cellStyle name="Обычный 3 2" xfId="769"/>
    <cellStyle name="Обычный 3 2 2" xfId="770"/>
    <cellStyle name="Обычный 3 2 2 2" xfId="771"/>
    <cellStyle name="Обычный 3 2 2_паспорт локализации холодильников 2012г версия для Р.М " xfId="772"/>
    <cellStyle name="Обычный 3 2 3" xfId="773"/>
    <cellStyle name="Обычный 3 2_паспорт локализации холодильников 2012г версия для Р.М " xfId="774"/>
    <cellStyle name="Обычный 3 3" xfId="775"/>
    <cellStyle name="Обычный 3_Сино-308 15.12.10" xfId="776"/>
    <cellStyle name="Обычный 30" xfId="777"/>
    <cellStyle name="Обычный 31" xfId="778"/>
    <cellStyle name="Обычный 4" xfId="779"/>
    <cellStyle name="Обычный 4 2" xfId="780"/>
    <cellStyle name="Обычный 4 2 2" xfId="781"/>
    <cellStyle name="Обычный 4 2 3" xfId="782"/>
    <cellStyle name="Обычный 4 2_паспорт локализации холодильников 2012г версия для Р.М " xfId="783"/>
    <cellStyle name="Обычный 4 3" xfId="784"/>
    <cellStyle name="Обычный 4 4" xfId="785"/>
    <cellStyle name="Обычный 4 5" xfId="786"/>
    <cellStyle name="Обычный 4 6" xfId="787"/>
    <cellStyle name="Обычный 5" xfId="788"/>
    <cellStyle name="Обычный 5 2" xfId="789"/>
    <cellStyle name="Обычный 5 3" xfId="790"/>
    <cellStyle name="Обычный 5_паспорт локализации холодильников 2012г версия для Р.М " xfId="791"/>
    <cellStyle name="Обычный 6" xfId="792"/>
    <cellStyle name="Обычный 6 2" xfId="793"/>
    <cellStyle name="Обычный 7" xfId="794"/>
    <cellStyle name="Обычный 8" xfId="795"/>
    <cellStyle name="Обычный 9" xfId="796"/>
    <cellStyle name="Плохой 10" xfId="797"/>
    <cellStyle name="Плохой 11" xfId="798"/>
    <cellStyle name="Плохой 12" xfId="799"/>
    <cellStyle name="Плохой 2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3" xfId="812"/>
    <cellStyle name="Пояснение 4" xfId="813"/>
    <cellStyle name="Пояснение 5" xfId="814"/>
    <cellStyle name="Пояснение 6" xfId="815"/>
    <cellStyle name="Пояснение 7" xfId="816"/>
    <cellStyle name="Пояснение 8" xfId="817"/>
    <cellStyle name="Пояснение 9" xfId="818"/>
    <cellStyle name="Примечание 10" xfId="819"/>
    <cellStyle name="Примечание 11" xfId="820"/>
    <cellStyle name="Примечание 12" xfId="821"/>
    <cellStyle name="Примечание 2" xfId="822"/>
    <cellStyle name="Примечание 3" xfId="823"/>
    <cellStyle name="Примечание 4" xfId="824"/>
    <cellStyle name="Примечание 5" xfId="825"/>
    <cellStyle name="Примечание 6" xfId="826"/>
    <cellStyle name="Примечание 7" xfId="827"/>
    <cellStyle name="Примечание 8" xfId="828"/>
    <cellStyle name="Примечание 9" xfId="829"/>
    <cellStyle name="Процент (+/-)" xfId="830"/>
    <cellStyle name="Процент_Свод2" xfId="831"/>
    <cellStyle name="Процентный 10" xfId="832"/>
    <cellStyle name="Процентный 11" xfId="833"/>
    <cellStyle name="Процентный 2" xfId="834"/>
    <cellStyle name="Процентный 2 2" xfId="835"/>
    <cellStyle name="Процентный 2 2 2" xfId="836"/>
    <cellStyle name="Процентный 2 2 3" xfId="837"/>
    <cellStyle name="Процентный 2 2 4" xfId="838"/>
    <cellStyle name="Процентный 2 2 5" xfId="839"/>
    <cellStyle name="Процентный 2 2 6" xfId="840"/>
    <cellStyle name="Процентный 2 3" xfId="841"/>
    <cellStyle name="Процентный 2 4" xfId="842"/>
    <cellStyle name="Процентный 2 5" xfId="843"/>
    <cellStyle name="Процентный 2 6" xfId="844"/>
    <cellStyle name="Процентный 2 7" xfId="845"/>
    <cellStyle name="Процентный 2 8" xfId="846"/>
    <cellStyle name="Процентный 3" xfId="847"/>
    <cellStyle name="Процентный 3 2" xfId="848"/>
    <cellStyle name="Процентный 4" xfId="849"/>
    <cellStyle name="Процентный 5" xfId="850"/>
    <cellStyle name="Процентный 6" xfId="851"/>
    <cellStyle name="Процентный 7" xfId="852"/>
    <cellStyle name="Процентный 8" xfId="853"/>
    <cellStyle name="Процентный 9" xfId="854"/>
    <cellStyle name="Связанная ячейка 10" xfId="855"/>
    <cellStyle name="Связанная ячейка 11" xfId="856"/>
    <cellStyle name="Связанная ячейка 12" xfId="857"/>
    <cellStyle name="Связанная ячейка 2" xfId="858"/>
    <cellStyle name="Связанная ячейка 3" xfId="859"/>
    <cellStyle name="Связанная ячейка 4" xfId="860"/>
    <cellStyle name="Связанная ячейка 5" xfId="861"/>
    <cellStyle name="Связанная ячейка 6" xfId="862"/>
    <cellStyle name="Связанная ячейка 7" xfId="863"/>
    <cellStyle name="Связанная ячейка 8" xfId="864"/>
    <cellStyle name="Связанная ячейка 9" xfId="865"/>
    <cellStyle name="Стиль 1" xfId="866"/>
    <cellStyle name="Стиль 1 2" xfId="867"/>
    <cellStyle name="Стиль 1 3" xfId="868"/>
    <cellStyle name="Текст" xfId="869"/>
    <cellStyle name="Текст предупреждения 10" xfId="870"/>
    <cellStyle name="Текст предупреждения 11" xfId="871"/>
    <cellStyle name="Текст предупреждения 12" xfId="872"/>
    <cellStyle name="Текст предупреждения 2" xfId="873"/>
    <cellStyle name="Текст предупреждения 3" xfId="874"/>
    <cellStyle name="Текст предупреждения 4" xfId="875"/>
    <cellStyle name="Текст предупреждения 5" xfId="876"/>
    <cellStyle name="Текст предупреждения 6" xfId="877"/>
    <cellStyle name="Текст предупреждения 7" xfId="878"/>
    <cellStyle name="Текст предупреждения 8" xfId="879"/>
    <cellStyle name="Текст предупреждения 9" xfId="880"/>
    <cellStyle name="Тысячи [0]_  осн" xfId="881"/>
    <cellStyle name="Тысячи_  осн" xfId="882"/>
    <cellStyle name="Финансовый" xfId="941" builtinId="3"/>
    <cellStyle name="Финансовый [0] 2" xfId="883"/>
    <cellStyle name="Финансовый [0] 3" xfId="884"/>
    <cellStyle name="Финансовый [0] 4" xfId="885"/>
    <cellStyle name="Финансовый [0] 4 2" xfId="886"/>
    <cellStyle name="Финансовый 10" xfId="887"/>
    <cellStyle name="Финансовый 11" xfId="888"/>
    <cellStyle name="Финансовый 12" xfId="889"/>
    <cellStyle name="Финансовый 2" xfId="890"/>
    <cellStyle name="Финансовый 2 10" xfId="891"/>
    <cellStyle name="Финансовый 2 2" xfId="892"/>
    <cellStyle name="Финансовый 2 2 2" xfId="893"/>
    <cellStyle name="Финансовый 2 2 2 2" xfId="894"/>
    <cellStyle name="Финансовый 2 3" xfId="895"/>
    <cellStyle name="Финансовый 2 4" xfId="896"/>
    <cellStyle name="Финансовый 2 5" xfId="897"/>
    <cellStyle name="Финансовый 2 6" xfId="898"/>
    <cellStyle name="Финансовый 2 7" xfId="899"/>
    <cellStyle name="Финансовый 2 8" xfId="900"/>
    <cellStyle name="Финансовый 2 9" xfId="901"/>
    <cellStyle name="Финансовый 3" xfId="902"/>
    <cellStyle name="Финансовый 3 2" xfId="903"/>
    <cellStyle name="Финансовый 4" xfId="904"/>
    <cellStyle name="Финансовый 4 2" xfId="905"/>
    <cellStyle name="Финансовый 4 3" xfId="906"/>
    <cellStyle name="Финансовый 5" xfId="907"/>
    <cellStyle name="Финансовый 5 2" xfId="908"/>
    <cellStyle name="Финансовый 5_1.А Шахта расчет цены на 2012.04." xfId="909"/>
    <cellStyle name="Финансовый 6" xfId="910"/>
    <cellStyle name="Финансовый 7" xfId="911"/>
    <cellStyle name="Финансовый 8" xfId="912"/>
    <cellStyle name="Финансовый 9" xfId="913"/>
    <cellStyle name="Хороший 10" xfId="914"/>
    <cellStyle name="Хороший 11" xfId="915"/>
    <cellStyle name="Хороший 12" xfId="916"/>
    <cellStyle name="Хороший 2" xfId="917"/>
    <cellStyle name="Хороший 3" xfId="918"/>
    <cellStyle name="Хороший 4" xfId="919"/>
    <cellStyle name="Хороший 5" xfId="920"/>
    <cellStyle name="Хороший 6" xfId="921"/>
    <cellStyle name="Хороший 7" xfId="922"/>
    <cellStyle name="Хороший 8" xfId="923"/>
    <cellStyle name="Хороший 9" xfId="924"/>
    <cellStyle name="Џђћ–…ќ’ќ›‰" xfId="925"/>
    <cellStyle name="Џђћ–…ќ’ќ›‰ 10" xfId="926"/>
    <cellStyle name="Џђћ–…ќ’ќ›‰ 11" xfId="927"/>
    <cellStyle name="Џђћ–…ќ’ќ›‰ 12" xfId="928"/>
    <cellStyle name="Џђћ–…ќ’ќ›‰ 2" xfId="929"/>
    <cellStyle name="Џђћ–…ќ’ќ›‰ 3" xfId="930"/>
    <cellStyle name="Џђћ–…ќ’ќ›‰ 4" xfId="931"/>
    <cellStyle name="Џђћ–…ќ’ќ›‰ 5" xfId="932"/>
    <cellStyle name="Џђћ–…ќ’ќ›‰ 6" xfId="933"/>
    <cellStyle name="Џђћ–…ќ’ќ›‰ 7" xfId="934"/>
    <cellStyle name="Џђћ–…ќ’ќ›‰ 8" xfId="935"/>
    <cellStyle name="Џђћ–…ќ’ќ›‰ 9" xfId="936"/>
    <cellStyle name="Џђћ–…ќ’ќ›‰_02.11.2007" xfId="937"/>
    <cellStyle name="Шапка" xfId="938"/>
    <cellStyle name="표준_BACK-UP" xfId="939"/>
    <cellStyle name="常规_PK_CNcntr(Bolt-11)" xfId="9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&#1055;&#1088;&#1086;&#1077;&#1082;&#1090;&#1099;\&#1055;&#1088;&#1086;&#1077;&#1082;&#1090;&#1099;\&#1058;&#1102;&#1073;&#1077;&#1075;&#1072;&#1090;&#1072;&#1085;%2017_02_07\&#1044;&#1077;&#1093;&#1082;&#1072;&#1085;&#1072;&#1073;&#1072;&#1090;\04.12.2007\&#1042;&#1072;&#1088;%201\&#1042;&#1072;&#1088;&#1080;&#1072;&#1085;&#1090;%201%20&#1089;%20&#1088;&#1077;&#1084;&#1086;&#1085;&#1090;&#1086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shahta\&#1041;&#1091;&#1093;&#1075;&#1072;&#1083;&#1090;&#1077;&#1088;&#1080;&#1103;\&#1055;&#1051;&#1040;&#1053;&#1054;&#1042;&#1067;&#1049;%20&#1054;&#1058;&#1044;&#1045;&#1051;\&#1052;&#1086;&#1080;%20&#1076;&#1086;&#1082;&#1091;&#1084;&#1077;&#1085;&#1090;&#1099;\&#1054;&#1058;&#1080;&#1047;\&#1082;&#1074;&#1072;&#1088;&#1090;&#1072;&#1083;&#1100;&#1085;&#1099;&#1077;%20&#1087;&#1083;&#1072;&#1085;&#1099;%202011\&#1050;&#1074;&#1072;&#1088;&#1090;&#1072;&#1083;&#1100;&#1085;&#1099;&#1077;%20&#1087;&#1083;&#1072;&#1085;&#1099;%203-&#1082;&#1074;-&#1083;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Documents%20and%20Settings\All%20Users\Documents\&#1061;&#1072;&#1085;&#1076;&#1080;&#1079;&#1072;_30.12.2007\&#1054;&#1089;&#1085;&#1086;&#1074;.&#1088;&#1072;&#1089;.&#1087;&#1086;&#1089;&#1083;_2007.12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5;&#1088;&#1086;&#1077;&#1082;&#1090;&#1099;\&#1055;&#1088;&#1086;&#1077;&#1082;&#1090;&#1099;\&#1053;&#1086;&#1074;&#1086;-&#1040;&#1085;&#1075;&#1088;&#1077;&#1085;\&#1042;&#1072;&#1088;-5.%20%20&#1053;&#1086;&#1074;&#1086;-&#1072;&#1085;&#1075;&#1088;&#1077;&#1085;&#1089;&#1082;&#1080;&#108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ey\SHADOW%20(C)\Documents%20and%20Settings\&#1057;&#1077;&#1088;&#1075;&#1077;&#1081;\&#1052;&#1086;&#1080;%20&#1076;&#1086;&#1082;&#1091;&#1084;&#1077;&#1085;&#1090;&#1099;\04&#1075;%20%2005&#1075;%2006&#1075;\&#1041;&#1080;&#1079;&#1085;&#1077;&#1089;%20&#1087;&#1083;&#1072;&#1085;&#1099;\&#1041;&#1080;&#1079;&#1085;&#1077;&#1089;-&#1087;&#1083;&#1072;&#1085;%202007&#1075;%20(&#1048;&#1079;&#1084;&#1077;&#1085;&#1077;&#1085;&#1080;&#1103;%20&#1043;&#1040;&#1050;%2001.03.07&#1075;.)\&#1041;&#1055;-&#1103;&#1085;&#1074;&#1072;&#1088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user\&#1056;&#1072;&#1073;&#1086;&#1095;&#1080;&#1081;%20&#1089;&#1090;&#1086;&#1083;\&#1058;&#1102;&#1073;&#1080;&#1075;&#1072;&#1090;&#1072;&#1085;\&#1044;&#1077;&#1093;&#1082;&#1072;&#1085;&#1072;&#1073;&#1072;&#1090;\26.11.2007\&#1052;&#1086;&#1080;%20&#1076;&#1086;&#1082;&#1091;&#1084;&#1077;&#1085;&#1090;&#1099;\&#1052;&#1086;&#1080;%20&#1076;&#1086;&#1082;&#1091;&#1084;&#1077;&#1085;&#1090;&#1099;\&#1047;&#1072;&#1082;&#1086;&#1085;&#1099;\&#1053;&#1072;&#1084;&#1091;&#1085;&#1072;%20&#1056;&#1040;&#1057;&#1063;&#1045;&#1058;%20&#1058;&#1069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2;&#1086;&#1080;%20&#1076;&#1086;&#1082;&#1091;&#1084;&#1077;&#1085;&#1090;&#1099;\&#1059;&#1079;&#1090;&#1103;&#1078;&#1085;&#1077;&#1092;&#1090;&#1077;&#1075;&#1072;&#1079;&#1093;&#1080;&#1084;&#1087;&#1088;&#1086;&#1077;&#1082;&#1090;\&#1055;&#1088;&#1086;&#1077;&#1082;&#1090;&#1099;\&#1055;&#1058;&#1069;&#1054;%20&#1054;&#1055;&#1047;%20&#1053;&#1050;&#1060;&#1059;%20250\&#1085;&#1082;&#1092;&#1091;%20300307\&#1085;&#1082;&#1092;&#1091;%20&#1089;%20&#1089;&#1091;&#1097;%20&#1076;&#1086;&#1083;&#1075;&#1072;&#1084;&#1080;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Documents%20and%20Settings\&#1040;&#1076;&#1084;&#1080;&#1085;&#1080;&#1089;&#1090;&#1088;&#1072;&#1090;&#1086;&#1088;\&#1052;&#1086;&#1080;%20&#1076;&#1086;&#1082;&#1091;&#1084;&#1077;&#1085;&#1090;&#1099;\&#1056;&#1072;&#1073;&#1086;&#1095;&#1072;&#1103;\&#1053;&#1086;&#1074;&#1086;-&#1040;&#1085;&#1075;&#1088;&#1077;&#1085;_&#1087;&#1086;&#1089;&#1083;\&#1055;&#1058;&#1069;&#1054;_&#1053;&#1040;&#1058;&#1069;&#1057;_25.06.2008\&#1084;&#1086;&#1076;&#1077;&#1083;&#1100;_&#1058;&#1069;&#1057;_&#1042;&#1072;&#1088;-&#1087;&#1086;&#1101;&#1090;&#1072;&#1087;&#1085;&#1086;_25.06.2008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Ole4ka\Olya\&#1044;&#1086;&#1082;&#1091;&#1084;&#1077;&#1085;&#1090;&#1099;\&#1058;&#1072;&#1088;&#1080;&#1092;\TARIF_07\electr_energy\ung\ord_2005\ord_1441\FLOW_5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74;&#1072;&#1088;.&#1089;&#1084;&#1077;&#1090;&#1099;%20&#1085;&#1072;%202024%20&#1075;%20&#1089;%20&#1091;&#1074;.&#1075;&#1089;&#1084;%20&#1080;&#1089;&#1087;&#1086;&#1083;.&#1072;&#1087;&#1087;&#1072;&#1088;&#1072;&#1090;/&#1057;&#1084;&#1042;&#1099;&#109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74;&#1072;&#1088;.&#1089;&#1084;&#1077;&#1090;&#1099;%20&#1085;&#1072;%202024%20&#1075;%20&#1089;%20&#1091;&#1074;.&#1075;&#1089;&#1084;%20&#1080;&#1089;&#1087;&#1086;&#1083;.&#1072;&#1087;&#1087;&#1072;&#1088;&#1072;&#1090;/&#1057;&#1084;&#1053;&#1072;&#1057;&#1090;&#1086;&#108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74;&#1072;&#1088;.&#1089;&#1084;&#1077;&#1090;&#1099;%20&#1085;&#1072;%202024%20&#1075;%20&#1089;%20&#1091;&#1074;.&#1075;&#1089;&#1084;%20&#1080;&#1089;&#1087;&#1086;&#1083;.&#1072;&#1087;&#1087;&#1072;&#1088;&#1072;&#1090;/&#1042;&#1089;&#1082;&#1088;&#1099;&#1096;&#1072;%20202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74;&#1072;&#1088;.&#1089;&#1084;&#1077;&#1090;&#1099;%20&#1085;&#1072;%202024%20&#1075;%20&#1089;%20&#1091;&#1074;.&#1075;&#1089;&#1084;%20&#1080;&#1089;&#1087;&#1086;&#1083;.&#1072;&#1087;&#1087;&#1072;&#1088;&#1072;&#1090;/&#1042;&#1089;&#1082;&#1088;&#1099;&#1096;&#1072;%20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1057;&#1084;&#1042;&#1099;&#1093;%20(1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angren\&#1044;&#1086;&#1082;&#1091;&#1084;&#1077;&#1085;&#1090;&#1099;\Rustam\&#1055;&#1086;&#1090;&#1086;&#1082;&#1080;%20&#1059;&#1069;%2003.04.2012&#1075;-&#1085;&#1072;&#1096;%20&#1074;&#1072;&#1088;&#1080;&#1072;&#1085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2;&#1086;&#1080;%20&#1076;&#1086;&#1082;&#1091;&#1084;&#1077;&#1085;&#1090;&#1099;\&#1048;&#1085;&#1074;&#1077;&#1089;&#1090;&#1040;&#1085;&#1072;&#1083;&#1080;&#1079;%20&#847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0;&#1060;\&#1052;&#1041;&#1055;\&#1048;&#1085;&#1074;&#1077;&#1089;&#1090;&#1040;&#1085;&#1072;&#1083;&#1080;&#10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000\&#1072;&#1082;&#1073;&#1072;&#1088;\&#1040;&#1082;&#1073;&#1072;&#1088;\work\ung\ord_2005\ord_1441\FLOW_5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AYakubbaev\&#1056;&#1072;&#1073;&#1086;&#1095;&#1080;&#1081;%20&#1089;&#1090;&#1086;&#1083;\Ole4ka\Olya\&#1044;&#1086;&#1082;&#1091;&#1084;&#1077;&#1085;&#1090;&#1099;\&#1058;&#1072;&#1088;&#1080;&#1092;\TARIF_07\electr_energy\eng_fl_1&#1082;&#1074;_&#1088;&#1072;&#10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6;&#1072;&#1073;&#1086;&#1095;&#1080;&#1081;%20&#1089;&#1090;&#1086;&#1083;\&#1053;&#1072;&#1084;&#1091;&#1085;&#1072;%20&#1056;&#1040;&#1057;&#1063;&#1045;&#1058;%20&#1058;&#1069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Group"/>
      <sheetName val="all"/>
      <sheetName val="완성차 미수금"/>
      <sheetName val="фориш_свод1"/>
      <sheetName val="Фориш_20031"/>
      <sheetName val="Жиззах_янги_раз1"/>
      <sheetName val="банк_табл1"/>
      <sheetName val="완성차_미수금1"/>
      <sheetName val="фориш_свод"/>
      <sheetName val="Фориш_2003"/>
      <sheetName val="Жиззах_янги_раз"/>
      <sheetName val="банк_табл"/>
      <sheetName val="완성차_미수금"/>
      <sheetName val="KAT2344"/>
      <sheetName val="c"/>
      <sheetName val="Массив"/>
      <sheetName val="Фориш_20033"/>
      <sheetName val="фориш_свод2"/>
      <sheetName val="Фориш_20032"/>
      <sheetName val="Жиззах_янги_раз2"/>
      <sheetName val="банк_табл2"/>
      <sheetName val="фориш_свод3"/>
      <sheetName val="Фориш_20034"/>
      <sheetName val="Жиззах_янги_раз3"/>
      <sheetName val="банк_табл3"/>
      <sheetName val="Фориш_20036"/>
      <sheetName val="фориш_свод4"/>
      <sheetName val="Фориш_20035"/>
      <sheetName val="Жиззах_янги_раз4"/>
      <sheetName val="банк_табл4"/>
      <sheetName val="фориш_свод5"/>
      <sheetName val="Фориш_20037"/>
      <sheetName val="Жиззах_янги_раз5"/>
      <sheetName val="банк_табл5"/>
      <sheetName val="Лист1"/>
      <sheetName val="фориш_свод6"/>
      <sheetName val="Фориш_20038"/>
      <sheetName val="Жиззах_янги_раз6"/>
      <sheetName val="банк_табл6"/>
      <sheetName val="완성차_미수금2"/>
      <sheetName val="Структура"/>
      <sheetName val="주행"/>
      <sheetName val="ф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Калькуляция на добычу"/>
      <sheetName val="Калькуляция"/>
      <sheetName val="табл чувств"/>
      <sheetName val="Кальк перевозки МЗКТ"/>
      <sheetName val="Кальк общая (МЗКТ)"/>
      <sheetName val="Кальк вода"/>
      <sheetName val="Лист7"/>
      <sheetName val="Годовые издержки"/>
      <sheetName val="Обор капитал"/>
      <sheetName val="Кредиты"/>
      <sheetName val="Прибыли и убытки"/>
      <sheetName val="Налоги"/>
      <sheetName val="Баланс1"/>
      <sheetName val="фин ресурсы"/>
      <sheetName val="Лист2"/>
      <sheetName val="Лист10"/>
      <sheetName val="Лист8"/>
      <sheetName val="параметры ТЭО"/>
      <sheetName val="План продаж"/>
      <sheetName val="Амартизация"/>
      <sheetName val="Притоки и оттоки"/>
      <sheetName val="Притоки и оттоки (2)"/>
      <sheetName val="cash flows"/>
      <sheetName val="IRR, NPV"/>
      <sheetName val="Лист5"/>
      <sheetName val="Условия кредитов"/>
      <sheetName val="Кальк перевозки КРАЗ "/>
      <sheetName val="Лист4"/>
      <sheetName val="Зарплата"/>
      <sheetName val="коэф оборач"/>
      <sheetName val="Сырье"/>
      <sheetName val="Лист3"/>
      <sheetName val="хвосты"/>
      <sheetName val="Кальк общая "/>
      <sheetName val="Калькуляция ГПР"/>
      <sheetName val="Калькуляция на добычу нов."/>
      <sheetName val="Ст-сть проекта"/>
      <sheetName val="Выборка кредита"/>
      <sheetName val="кап вл"/>
      <sheetName val="Кредит1"/>
      <sheetName val="Кредит2"/>
      <sheetName val="Кредит3"/>
      <sheetName val="Кредит4"/>
      <sheetName val="Лист1"/>
      <sheetName val="Распр_выр"/>
      <sheetName val="Spider1"/>
      <sheetName val="Spider2"/>
      <sheetName val="Лист6"/>
      <sheetName val="Лист9"/>
    </sheetNames>
    <sheetDataSet>
      <sheetData sheetId="0" refreshError="1">
        <row r="9">
          <cell r="B9">
            <v>2010</v>
          </cell>
        </row>
        <row r="10">
          <cell r="B10">
            <v>0</v>
          </cell>
        </row>
        <row r="11">
          <cell r="B11">
            <v>0</v>
          </cell>
        </row>
        <row r="23">
          <cell r="B23">
            <v>200</v>
          </cell>
        </row>
        <row r="24">
          <cell r="B24">
            <v>220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C3">
            <v>0</v>
          </cell>
        </row>
        <row r="5">
          <cell r="C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  <cell r="O4">
            <v>2019</v>
          </cell>
          <cell r="P4">
            <v>2020</v>
          </cell>
          <cell r="Q4">
            <v>2021</v>
          </cell>
          <cell r="R4">
            <v>2022</v>
          </cell>
          <cell r="S4">
            <v>2023</v>
          </cell>
          <cell r="T4">
            <v>2024</v>
          </cell>
          <cell r="U4">
            <v>2025</v>
          </cell>
          <cell r="V4">
            <v>2026</v>
          </cell>
          <cell r="W4">
            <v>2027</v>
          </cell>
          <cell r="X4">
            <v>2028</v>
          </cell>
          <cell r="Y4">
            <v>2029</v>
          </cell>
          <cell r="Z4">
            <v>2030</v>
          </cell>
          <cell r="AA4">
            <v>2031</v>
          </cell>
          <cell r="AB4">
            <v>2032</v>
          </cell>
          <cell r="AC4">
            <v>2033</v>
          </cell>
        </row>
        <row r="14">
          <cell r="E14">
            <v>0</v>
          </cell>
          <cell r="F14">
            <v>56.8125</v>
          </cell>
          <cell r="G14">
            <v>85.5</v>
          </cell>
          <cell r="H14">
            <v>90</v>
          </cell>
          <cell r="I14">
            <v>90</v>
          </cell>
          <cell r="J14">
            <v>90</v>
          </cell>
          <cell r="K14">
            <v>90</v>
          </cell>
          <cell r="L14">
            <v>90</v>
          </cell>
          <cell r="M14">
            <v>90</v>
          </cell>
          <cell r="N14">
            <v>90</v>
          </cell>
          <cell r="O14">
            <v>90</v>
          </cell>
          <cell r="P14">
            <v>90</v>
          </cell>
          <cell r="Q14">
            <v>90</v>
          </cell>
          <cell r="R14">
            <v>90</v>
          </cell>
          <cell r="S14">
            <v>90</v>
          </cell>
          <cell r="T14">
            <v>90</v>
          </cell>
          <cell r="U14">
            <v>90</v>
          </cell>
          <cell r="V14">
            <v>90</v>
          </cell>
          <cell r="W14">
            <v>90</v>
          </cell>
          <cell r="X14">
            <v>90</v>
          </cell>
          <cell r="Y14">
            <v>90</v>
          </cell>
          <cell r="Z14">
            <v>90</v>
          </cell>
          <cell r="AA14">
            <v>90</v>
          </cell>
          <cell r="AB14">
            <v>90</v>
          </cell>
          <cell r="AC14">
            <v>90</v>
          </cell>
        </row>
        <row r="16">
          <cell r="E16">
            <v>18.75</v>
          </cell>
          <cell r="F16">
            <v>69.4375</v>
          </cell>
          <cell r="G16">
            <v>104.50000000000001</v>
          </cell>
          <cell r="H16">
            <v>110.00000000000001</v>
          </cell>
          <cell r="I16">
            <v>110.00000000000001</v>
          </cell>
          <cell r="J16">
            <v>110.00000000000001</v>
          </cell>
          <cell r="K16">
            <v>110.00000000000001</v>
          </cell>
          <cell r="L16">
            <v>110.00000000000001</v>
          </cell>
          <cell r="M16">
            <v>110.00000000000001</v>
          </cell>
          <cell r="N16">
            <v>110.00000000000001</v>
          </cell>
          <cell r="O16">
            <v>110.00000000000001</v>
          </cell>
          <cell r="P16">
            <v>110.00000000000001</v>
          </cell>
          <cell r="Q16">
            <v>110.00000000000001</v>
          </cell>
          <cell r="R16">
            <v>110.00000000000001</v>
          </cell>
          <cell r="S16">
            <v>110.00000000000001</v>
          </cell>
          <cell r="T16">
            <v>110.00000000000001</v>
          </cell>
          <cell r="U16">
            <v>110.00000000000001</v>
          </cell>
          <cell r="V16">
            <v>110.00000000000001</v>
          </cell>
          <cell r="W16">
            <v>110.00000000000001</v>
          </cell>
          <cell r="X16">
            <v>110.00000000000001</v>
          </cell>
          <cell r="Y16">
            <v>110.00000000000001</v>
          </cell>
          <cell r="Z16">
            <v>110.00000000000001</v>
          </cell>
          <cell r="AA16">
            <v>110.00000000000001</v>
          </cell>
          <cell r="AB16">
            <v>110.00000000000001</v>
          </cell>
          <cell r="AC16">
            <v>110.00000000000001</v>
          </cell>
        </row>
        <row r="18">
          <cell r="E18">
            <v>200</v>
          </cell>
          <cell r="F18">
            <v>200</v>
          </cell>
          <cell r="G18">
            <v>200</v>
          </cell>
          <cell r="H18">
            <v>200</v>
          </cell>
          <cell r="I18">
            <v>200</v>
          </cell>
          <cell r="J18">
            <v>200</v>
          </cell>
          <cell r="K18">
            <v>200</v>
          </cell>
          <cell r="L18">
            <v>200</v>
          </cell>
          <cell r="M18">
            <v>200</v>
          </cell>
          <cell r="N18">
            <v>200</v>
          </cell>
          <cell r="O18">
            <v>200</v>
          </cell>
          <cell r="P18">
            <v>200</v>
          </cell>
          <cell r="Q18">
            <v>200</v>
          </cell>
          <cell r="R18">
            <v>200</v>
          </cell>
          <cell r="S18">
            <v>200</v>
          </cell>
          <cell r="T18">
            <v>200</v>
          </cell>
          <cell r="U18">
            <v>200</v>
          </cell>
          <cell r="V18">
            <v>200</v>
          </cell>
          <cell r="W18">
            <v>200</v>
          </cell>
          <cell r="X18">
            <v>200</v>
          </cell>
          <cell r="Y18">
            <v>200</v>
          </cell>
          <cell r="Z18">
            <v>200</v>
          </cell>
          <cell r="AA18">
            <v>200</v>
          </cell>
          <cell r="AB18">
            <v>200</v>
          </cell>
          <cell r="AC18">
            <v>200</v>
          </cell>
        </row>
        <row r="20">
          <cell r="E20">
            <v>0</v>
          </cell>
          <cell r="F20">
            <v>11362.5</v>
          </cell>
          <cell r="G20">
            <v>17100</v>
          </cell>
          <cell r="H20">
            <v>18000</v>
          </cell>
          <cell r="I20">
            <v>18000</v>
          </cell>
          <cell r="J20">
            <v>18000</v>
          </cell>
          <cell r="K20">
            <v>18000</v>
          </cell>
          <cell r="L20">
            <v>18000</v>
          </cell>
          <cell r="M20">
            <v>18000</v>
          </cell>
          <cell r="N20">
            <v>18000</v>
          </cell>
          <cell r="O20">
            <v>18000</v>
          </cell>
          <cell r="P20">
            <v>18000</v>
          </cell>
          <cell r="Q20">
            <v>18000</v>
          </cell>
          <cell r="R20">
            <v>18000</v>
          </cell>
          <cell r="S20">
            <v>18000</v>
          </cell>
          <cell r="T20">
            <v>18000</v>
          </cell>
          <cell r="U20">
            <v>18000</v>
          </cell>
          <cell r="V20">
            <v>18000</v>
          </cell>
          <cell r="W20">
            <v>18000</v>
          </cell>
          <cell r="X20">
            <v>18000</v>
          </cell>
          <cell r="Y20">
            <v>18000</v>
          </cell>
          <cell r="Z20">
            <v>18000</v>
          </cell>
          <cell r="AA20">
            <v>18000</v>
          </cell>
          <cell r="AB20">
            <v>18000</v>
          </cell>
          <cell r="AC20">
            <v>18000</v>
          </cell>
        </row>
        <row r="29">
          <cell r="E29">
            <v>220</v>
          </cell>
          <cell r="F29">
            <v>220</v>
          </cell>
          <cell r="G29">
            <v>220</v>
          </cell>
          <cell r="H29">
            <v>220</v>
          </cell>
          <cell r="I29">
            <v>220</v>
          </cell>
          <cell r="J29">
            <v>220</v>
          </cell>
          <cell r="K29">
            <v>220</v>
          </cell>
          <cell r="L29">
            <v>220</v>
          </cell>
          <cell r="M29">
            <v>220</v>
          </cell>
          <cell r="N29">
            <v>220</v>
          </cell>
          <cell r="O29">
            <v>220</v>
          </cell>
          <cell r="P29">
            <v>220</v>
          </cell>
          <cell r="Q29">
            <v>220</v>
          </cell>
          <cell r="R29">
            <v>220</v>
          </cell>
          <cell r="S29">
            <v>220</v>
          </cell>
          <cell r="T29">
            <v>220</v>
          </cell>
          <cell r="U29">
            <v>220</v>
          </cell>
          <cell r="V29">
            <v>220</v>
          </cell>
          <cell r="W29">
            <v>220</v>
          </cell>
          <cell r="X29">
            <v>220</v>
          </cell>
          <cell r="Y29">
            <v>220</v>
          </cell>
          <cell r="Z29">
            <v>220</v>
          </cell>
          <cell r="AA29">
            <v>220</v>
          </cell>
          <cell r="AB29">
            <v>220</v>
          </cell>
          <cell r="AC29">
            <v>220</v>
          </cell>
        </row>
        <row r="31">
          <cell r="E31">
            <v>4125</v>
          </cell>
          <cell r="F31">
            <v>15276.25</v>
          </cell>
          <cell r="G31">
            <v>22990.000000000004</v>
          </cell>
          <cell r="H31">
            <v>24200.000000000004</v>
          </cell>
          <cell r="I31">
            <v>24200.000000000004</v>
          </cell>
          <cell r="J31">
            <v>24200.000000000004</v>
          </cell>
          <cell r="K31">
            <v>24200.000000000004</v>
          </cell>
          <cell r="L31">
            <v>24200.000000000004</v>
          </cell>
          <cell r="M31">
            <v>24200.000000000004</v>
          </cell>
          <cell r="N31">
            <v>24200.000000000004</v>
          </cell>
          <cell r="O31">
            <v>24200.000000000004</v>
          </cell>
          <cell r="P31">
            <v>24200.000000000004</v>
          </cell>
          <cell r="Q31">
            <v>24200.000000000004</v>
          </cell>
          <cell r="R31">
            <v>24200.000000000004</v>
          </cell>
          <cell r="S31">
            <v>24200.000000000004</v>
          </cell>
          <cell r="T31">
            <v>24200.000000000004</v>
          </cell>
          <cell r="U31">
            <v>24200.000000000004</v>
          </cell>
          <cell r="V31">
            <v>24200.000000000004</v>
          </cell>
          <cell r="W31">
            <v>24200.000000000004</v>
          </cell>
          <cell r="X31">
            <v>24200.000000000004</v>
          </cell>
          <cell r="Y31">
            <v>24200.000000000004</v>
          </cell>
          <cell r="Z31">
            <v>24200.000000000004</v>
          </cell>
          <cell r="AA31">
            <v>24200.000000000004</v>
          </cell>
          <cell r="AB31">
            <v>24200.000000000004</v>
          </cell>
          <cell r="AC31">
            <v>24200.000000000004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режа"/>
      <sheetName val="БД"/>
      <sheetName val="фориш_свод2"/>
      <sheetName val="Фориш_20032"/>
      <sheetName val="Жиззах_янги_раз2"/>
      <sheetName val="Тохирбек_2003-12"/>
      <sheetName val="фориш_свод1"/>
      <sheetName val="Фориш_20031"/>
      <sheetName val="Жиззах_янги_раз1"/>
      <sheetName val="Тохирбек_2003-11"/>
      <sheetName val="фориш_свод"/>
      <sheetName val="Фориш_2003"/>
      <sheetName val="Жиззах_янги_раз"/>
      <sheetName val="Тохирбек_2003-1"/>
      <sheetName val="фориш_свод3"/>
      <sheetName val="Фориш_20033"/>
      <sheetName val="Жиззах_янги_раз3"/>
      <sheetName val="Тохирбек_2003-13"/>
      <sheetName val="фориш_свод4"/>
      <sheetName val="Фориш_20034"/>
      <sheetName val="Жиззах_янги_раз4"/>
      <sheetName val="Тохирбек_2003-14"/>
      <sheetName val="фориш_свод5"/>
      <sheetName val="Фориш_20035"/>
      <sheetName val="Жиззах_янги_раз5"/>
      <sheetName val="Тохирбек_2003-15"/>
      <sheetName val="фориш_свод6"/>
      <sheetName val="Фориш_20036"/>
      <sheetName val="Жиззах_янги_раз6"/>
      <sheetName val="Тохирбек_2003-16"/>
      <sheetName val="фориш_свод7"/>
      <sheetName val="Фориш_20037"/>
      <sheetName val="Жиззах_янги_раз7"/>
      <sheetName val="Тохирбек_2003-17"/>
      <sheetName val="фориш_свод8"/>
      <sheetName val="Фориш_20038"/>
      <sheetName val="Жиззах_янги_раз8"/>
      <sheetName val="Тохирбек_2003-18"/>
      <sheetName val="фориш_свод9"/>
      <sheetName val="Фориш_20039"/>
      <sheetName val="Жиззах_янги_раз9"/>
      <sheetName val="Тохирбек_2003-19"/>
      <sheetName val="фориш_свод10"/>
      <sheetName val="Фориш_200310"/>
      <sheetName val="Жиззах_янги_раз10"/>
      <sheetName val="Тохирбек_2003-110"/>
      <sheetName val="фориш_свод11"/>
      <sheetName val="Фориш_200311"/>
      <sheetName val="Жиззах_янги_раз11"/>
      <sheetName val="Тохирбек_2003-111"/>
      <sheetName val="13.1.Издержки"/>
      <sheetName val="Исходные1"/>
      <sheetName val="табл чувств"/>
      <sheetName val="К.смета"/>
      <sheetName val="структура"/>
      <sheetName val="G1"/>
      <sheetName val="фориш_свод12"/>
      <sheetName val="Фориш_200312"/>
      <sheetName val="Жиззах_янги_раз12"/>
      <sheetName val="Тохирбек_2003-112"/>
    </sheetNames>
    <sheetDataSet>
      <sheetData sheetId="0"/>
      <sheetData sheetId="1"/>
      <sheetData sheetId="2"/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>
        <row r="4">
          <cell r="O4">
            <v>67.099999999999994</v>
          </cell>
        </row>
      </sheetData>
      <sheetData sheetId="11">
        <row r="4">
          <cell r="O4">
            <v>67.099999999999994</v>
          </cell>
        </row>
      </sheetData>
      <sheetData sheetId="12">
        <row r="4">
          <cell r="O4">
            <v>67.099999999999994</v>
          </cell>
        </row>
      </sheetData>
      <sheetData sheetId="13">
        <row r="4">
          <cell r="O4">
            <v>67.099999999999994</v>
          </cell>
        </row>
      </sheetData>
      <sheetData sheetId="14">
        <row r="4">
          <cell r="O4">
            <v>67.099999999999994</v>
          </cell>
        </row>
      </sheetData>
      <sheetData sheetId="15">
        <row r="4">
          <cell r="O4">
            <v>67.099999999999994</v>
          </cell>
        </row>
      </sheetData>
      <sheetData sheetId="16">
        <row r="4">
          <cell r="O4">
            <v>67.099999999999994</v>
          </cell>
        </row>
      </sheetData>
      <sheetData sheetId="17">
        <row r="4">
          <cell r="O4">
            <v>67.099999999999994</v>
          </cell>
        </row>
      </sheetData>
      <sheetData sheetId="18">
        <row r="4">
          <cell r="O4">
            <v>67.099999999999994</v>
          </cell>
        </row>
      </sheetData>
      <sheetData sheetId="19">
        <row r="4">
          <cell r="O4">
            <v>67.099999999999994</v>
          </cell>
        </row>
      </sheetData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/>
      <sheetData sheetId="31">
        <row r="4">
          <cell r="O4">
            <v>67.099999999999994</v>
          </cell>
        </row>
      </sheetData>
      <sheetData sheetId="32">
        <row r="4">
          <cell r="O4">
            <v>67.099999999999994</v>
          </cell>
        </row>
      </sheetData>
      <sheetData sheetId="33">
        <row r="4">
          <cell r="O4">
            <v>67.099999999999994</v>
          </cell>
        </row>
      </sheetData>
      <sheetData sheetId="34"/>
      <sheetData sheetId="35"/>
      <sheetData sheetId="36">
        <row r="4">
          <cell r="O4">
            <v>67.099999999999994</v>
          </cell>
        </row>
      </sheetData>
      <sheetData sheetId="37"/>
      <sheetData sheetId="38"/>
      <sheetData sheetId="39"/>
      <sheetData sheetId="40"/>
      <sheetData sheetId="4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/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/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/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/>
      <sheetData sheetId="56"/>
      <sheetData sheetId="57">
        <row r="4">
          <cell r="O4">
            <v>67.099999999999994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фориш_свод2"/>
      <sheetName val="Фориш_20032"/>
      <sheetName val="Жиззах_янги_раз2"/>
      <sheetName val="фориш_свод1"/>
      <sheetName val="Фориш_20031"/>
      <sheetName val="Жиззах_янги_раз1"/>
      <sheetName val="фориш_свод"/>
      <sheetName val="Фориш_2003"/>
      <sheetName val="Жиззах_янги_раз"/>
      <sheetName val="фориш_свод3"/>
      <sheetName val="Фориш_20033"/>
      <sheetName val="Жиззах_янги_раз3"/>
      <sheetName val="фориш_свод4"/>
      <sheetName val="Фориш_20034"/>
      <sheetName val="Жиззах_янги_раз4"/>
      <sheetName val="фориш_свод5"/>
      <sheetName val="Фориш_20035"/>
      <sheetName val="Жиззах_янги_раз5"/>
      <sheetName val="фориш_свод6"/>
      <sheetName val="Фориш_20036"/>
      <sheetName val="Жиззах_янги_раз6"/>
      <sheetName val="фориш_свод7"/>
      <sheetName val="Фориш_20037"/>
      <sheetName val="Жиззах_янги_раз7"/>
      <sheetName val="фориш_свод8"/>
      <sheetName val="Фориш_20038"/>
      <sheetName val="Жиззах_янги_раз8"/>
      <sheetName val="фориш_свод9"/>
      <sheetName val="Фориш_20039"/>
      <sheetName val="Жиззах_янги_раз9"/>
      <sheetName val="фориш_свод10"/>
      <sheetName val="Фориш_200310"/>
      <sheetName val="Жиззах_янги_раз10"/>
      <sheetName val="фориш_свод11"/>
      <sheetName val="Фориш_200311"/>
      <sheetName val="Жиззах_янги_раз11"/>
      <sheetName val="Тохирбек 2003-1"/>
      <sheetName val="g1"/>
      <sheetName val="исходные"/>
      <sheetName val="оборот"/>
      <sheetName val="Macro1"/>
      <sheetName val="차체"/>
      <sheetName val="свод себестоимости"/>
      <sheetName val="KAT2344"/>
      <sheetName val="фориш_свод12"/>
      <sheetName val="Фориш_200312"/>
      <sheetName val="Жиззах_янги_раз12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/>
      <sheetData sheetId="8">
        <row r="4">
          <cell r="O4">
            <v>67.099999999999994</v>
          </cell>
        </row>
      </sheetData>
      <sheetData sheetId="9"/>
      <sheetData sheetId="10"/>
      <sheetData sheetId="11">
        <row r="4">
          <cell r="O4">
            <v>67.099999999999994</v>
          </cell>
        </row>
      </sheetData>
      <sheetData sheetId="12"/>
      <sheetData sheetId="13"/>
      <sheetData sheetId="14">
        <row r="4">
          <cell r="O4">
            <v>67.099999999999994</v>
          </cell>
        </row>
      </sheetData>
      <sheetData sheetId="15"/>
      <sheetData sheetId="16"/>
      <sheetData sheetId="17">
        <row r="4">
          <cell r="O4">
            <v>67.099999999999994</v>
          </cell>
        </row>
      </sheetData>
      <sheetData sheetId="18"/>
      <sheetData sheetId="19"/>
      <sheetData sheetId="20">
        <row r="4">
          <cell r="O4">
            <v>67.099999999999994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O4">
            <v>67.099999999999994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МЦ"/>
      <sheetName val="ВТБ"/>
      <sheetName val="БВР"/>
      <sheetName val="Медпункт"/>
      <sheetName val="СТК"/>
      <sheetName val="Автотр."/>
      <sheetName val="МНУ"/>
      <sheetName val="Подъем"/>
      <sheetName val="АБК"/>
      <sheetName val="Охрана"/>
      <sheetName val="РВУ"/>
      <sheetName val="ШТ"/>
      <sheetName val="1"/>
      <sheetName val="3"/>
      <sheetName val="4"/>
      <sheetName val="6"/>
      <sheetName val="Лист1"/>
      <sheetName val="бд"/>
      <sheetName val="е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D2" t="str">
            <v>НА  III КВАРТАЛ  2011года</v>
          </cell>
        </row>
      </sheetData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-сть проекта"/>
      <sheetName val="Выборка кредита"/>
      <sheetName val="Кредиты"/>
      <sheetName val="Кредит (2)"/>
      <sheetName val="Бал. мет.19.12.07"/>
      <sheetName val="Штат25.12.07г"/>
      <sheetName val="зарплата"/>
      <sheetName val="добыч.хан."/>
      <sheetName val="добыч.уч."/>
      <sheetName val="перер.руды Хандиза"/>
      <sheetName val="перер.руды Учкулач"/>
      <sheetName val="Калькуляция по цинку"/>
      <sheetName val="вспом.матер по цинк перед"/>
      <sheetName val="сер.кис.цинк.зав."/>
      <sheetName val="сер.кис.медн.зава."/>
      <sheetName val="черн.медь"/>
      <sheetName val="медь анод."/>
      <sheetName val="кат.медь"/>
      <sheetName val="сер.аф.мед.зав"/>
      <sheetName val="План Произ."/>
      <sheetName val="Годовые издержки"/>
      <sheetName val="План продаж"/>
      <sheetName val="коэф. об."/>
      <sheetName val="Обор капитал"/>
      <sheetName val="Баланс"/>
      <sheetName val="Прибыли и убытки"/>
      <sheetName val="фин ресурсы"/>
      <sheetName val="Налоги"/>
      <sheetName val="Налоги (2)"/>
      <sheetName val="Амор.ОФ.Уч-Кулач"/>
      <sheetName val="Амор.руд.Уч-Кулач сущ"/>
      <sheetName val="Амор.руд.Хандиза"/>
      <sheetName val="Амор.ОФ.Хандиза"/>
      <sheetName val="Транспорт"/>
      <sheetName val="Диаграмма1"/>
      <sheetName val="Амор.руд.Уч-Кулач"/>
      <sheetName val="Лист1"/>
      <sheetName val="Исходные данные"/>
      <sheetName val="штатн. расп Х"/>
      <sheetName val="штатн. расп У"/>
      <sheetName val="Передел обогащения"/>
      <sheetName val="табл чувств"/>
      <sheetName val="сущ.ОС Уч-Кулач"/>
      <sheetName val="смета Уч-Кулач"/>
      <sheetName val="смета Хандиза"/>
      <sheetName val="Притоки и оттоки"/>
      <sheetName val="расх_периода"/>
      <sheetName val="экспл.зап.Учку"/>
      <sheetName val="Распр_выр"/>
      <sheetName val="Кап.влож. (2)"/>
      <sheetName val="экспл.зап.Ханд"/>
      <sheetName val="Лист8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6.63</v>
          </cell>
        </row>
        <row r="8">
          <cell r="C8">
            <v>2.3570000000000002</v>
          </cell>
        </row>
        <row r="9">
          <cell r="C9">
            <v>1.86</v>
          </cell>
        </row>
        <row r="10">
          <cell r="C10">
            <v>7.8</v>
          </cell>
        </row>
        <row r="11">
          <cell r="C11">
            <v>469.41</v>
          </cell>
        </row>
        <row r="12">
          <cell r="C12">
            <v>1.7999999999999999E-2</v>
          </cell>
        </row>
        <row r="32">
          <cell r="C32">
            <v>6.63</v>
          </cell>
        </row>
        <row r="33">
          <cell r="C33">
            <v>2.3570000000000002</v>
          </cell>
        </row>
        <row r="34">
          <cell r="C34">
            <v>1.86</v>
          </cell>
        </row>
        <row r="35">
          <cell r="C35">
            <v>7.8</v>
          </cell>
        </row>
        <row r="36">
          <cell r="C36">
            <v>469.41</v>
          </cell>
        </row>
        <row r="37">
          <cell r="C37">
            <v>1.7999999999999999E-2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B6">
            <v>2007</v>
          </cell>
        </row>
        <row r="15">
          <cell r="B15">
            <v>1270.8</v>
          </cell>
        </row>
        <row r="21">
          <cell r="A21" t="str">
            <v xml:space="preserve">Медь </v>
          </cell>
        </row>
        <row r="22">
          <cell r="A22" t="str">
            <v xml:space="preserve">Цинк </v>
          </cell>
        </row>
        <row r="23">
          <cell r="A23" t="str">
            <v>Свинцовый концентрат</v>
          </cell>
        </row>
        <row r="24">
          <cell r="A24" t="str">
            <v>Кадмий</v>
          </cell>
        </row>
        <row r="25">
          <cell r="A25" t="str">
            <v>Серебро</v>
          </cell>
        </row>
        <row r="46">
          <cell r="B46">
            <v>6.63</v>
          </cell>
        </row>
        <row r="47">
          <cell r="B47">
            <v>2.3570000000000002</v>
          </cell>
        </row>
        <row r="48">
          <cell r="B48">
            <v>1.86</v>
          </cell>
        </row>
        <row r="49">
          <cell r="B49">
            <v>7.8</v>
          </cell>
        </row>
        <row r="50">
          <cell r="B50">
            <v>469.41</v>
          </cell>
        </row>
        <row r="51">
          <cell r="B51">
            <v>1.7999999999999999E-2</v>
          </cell>
        </row>
        <row r="53">
          <cell r="B53">
            <v>6.63</v>
          </cell>
        </row>
        <row r="54">
          <cell r="B54">
            <v>2.3570000000000002</v>
          </cell>
        </row>
        <row r="55">
          <cell r="B55">
            <v>1.86</v>
          </cell>
        </row>
        <row r="56">
          <cell r="B56">
            <v>7.8</v>
          </cell>
        </row>
        <row r="57">
          <cell r="B57">
            <v>469.41</v>
          </cell>
        </row>
        <row r="58">
          <cell r="B58">
            <v>1.7999999999999999E-2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8"/>
      <sheetName val="План Произ."/>
      <sheetName val="План продаж"/>
      <sheetName val="Обор капитал"/>
      <sheetName val="коэф. об."/>
      <sheetName val="добыча угля"/>
      <sheetName val="добыча каолина"/>
      <sheetName val="табл чувств"/>
      <sheetName val="Налоги"/>
      <sheetName val="Амор."/>
      <sheetName val="Исходные данные"/>
      <sheetName val="Зарплата"/>
      <sheetName val="Капитал"/>
      <sheetName val="фин ресурсы"/>
      <sheetName val="Притоки и оттоки"/>
      <sheetName val="Годовые издержки"/>
      <sheetName val="Распр_выр"/>
      <sheetName val="Прибыли и убытки"/>
      <sheetName val="Лист1"/>
      <sheetName val="Амор.2"/>
      <sheetName val="Ст-сть проекта"/>
      <sheetName val="КредитФРР"/>
      <sheetName val="КредитКБР"/>
      <sheetName val="Кредиты"/>
      <sheetName val="Капиталка"/>
      <sheetName val="БАЛАНС_новый"/>
      <sheetName val="финансовый_результат_нов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C16">
            <v>1291.97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Прогноз"/>
      <sheetName val="Ер Ресурс"/>
      <sheetName val="Массив"/>
      <sheetName val="____(__)"/>
      <sheetName val="Курс"/>
      <sheetName val="Топливо-энергия"/>
      <sheetName val="gjnht,_rjhpbyf1"/>
      <sheetName val="Фориш_20031"/>
      <sheetName val="Трест02-28факт_"/>
      <sheetName val="Тахлил_туловчи"/>
      <sheetName val="для ГАКа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Data input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ВВОД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План пр-ва_1"/>
      <sheetName val="План продаж_1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Локально-ресурсная ведомость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  <sheetName val="sheet1"/>
      <sheetName val="#ССЫЛКА"/>
      <sheetName val="БД"/>
      <sheetName val="Лист3"/>
      <sheetName val="Лист25"/>
      <sheetName val="копланмай"/>
      <sheetName val="фориш свод"/>
      <sheetName val="инф"/>
      <sheetName val="табли 4 местний совет"/>
      <sheetName val="gjnht,_rjhpbyf14"/>
      <sheetName val="Фориш_200314"/>
      <sheetName val="Трест02-28факт_13"/>
      <sheetName val="Тахлил_туловчи13"/>
      <sheetName val="физ_тон12"/>
      <sheetName val="Ер_Ресурс12"/>
      <sheetName val="жиззах_янги_раз8"/>
      <sheetName val="для_ГАКа8"/>
      <sheetName val="Data_input7"/>
      <sheetName val="План_пр-ва_12"/>
      <sheetName val="План_продаж_12"/>
      <sheetName val="Локально-ресурсная_ведомость2"/>
      <sheetName val="Доход_2008"/>
      <sheetName val="gjnht,_rjhpbyf15"/>
      <sheetName val="Фориш_200315"/>
      <sheetName val="Трест02-28факт_14"/>
      <sheetName val="Тахлил_туловчи14"/>
      <sheetName val="физ_тон13"/>
      <sheetName val="Ер_Ресурс13"/>
      <sheetName val="жиззах_янги_раз9"/>
      <sheetName val="для_ГАКа9"/>
      <sheetName val="Data_input8"/>
      <sheetName val="План_пр-ва_13"/>
      <sheetName val="План_продаж_13"/>
      <sheetName val="Локально-ресурсная_ведомость3"/>
      <sheetName val="Доход_20081"/>
      <sheetName val="Содержание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ВВОД"/>
      <sheetName val="Баланс"/>
      <sheetName val="Экспорт"/>
      <sheetName val="Произв 06г."/>
      <sheetName val="Тов.вып."/>
      <sheetName val="Мощности"/>
      <sheetName val="Исп. прибыли"/>
      <sheetName val="Затраты (2)"/>
      <sheetName val="Мощности1"/>
      <sheetName val="ТНП 05г.(ф), 06г.(п)"/>
      <sheetName val="Произв 05г."/>
      <sheetName val="Дин.фин.рез"/>
      <sheetName val="Расх.нормы газа"/>
      <sheetName val="Расх.нормы эл. эн."/>
      <sheetName val="Расх.нормы теп. эн."/>
      <sheetName val="Фин.рез"/>
      <sheetName val="ФО"/>
      <sheetName val="Бал"/>
      <sheetName val="УП"/>
      <sheetName val="Распр УП"/>
      <sheetName val="Эл"/>
      <sheetName val="Пар и эл"/>
      <sheetName val="Цены"/>
      <sheetName val="Реализация"/>
      <sheetName val="РП"/>
      <sheetName val="Общез"/>
      <sheetName val="СВОД"/>
      <sheetName val="Затраты осн."/>
      <sheetName val="Пар"/>
      <sheetName val="Расп.пара"/>
      <sheetName val="Лист1"/>
      <sheetName val="УА"/>
      <sheetName val="ХН"/>
      <sheetName val="- 15"/>
      <sheetName val="+12"/>
      <sheetName val="Карб"/>
      <sheetName val="АС"/>
      <sheetName val="ХМД жид"/>
      <sheetName val="Дс"/>
      <sheetName val="Амм"/>
      <sheetName val="К ТНП"/>
      <sheetName val="Об ПВП"/>
      <sheetName val="Пар ПВП"/>
      <sheetName val="АК"/>
      <sheetName val=" 625"/>
      <sheetName val="Ум НХС"/>
      <sheetName val="Об НХС"/>
      <sheetName val="НКС"/>
      <sheetName val="Кис"/>
      <sheetName val="Об"/>
      <sheetName val="РУК"/>
      <sheetName val="Э"/>
      <sheetName val="Сув"/>
      <sheetName val="Аз"/>
      <sheetName val="Сух.лёд"/>
      <sheetName val="Уг-та"/>
      <sheetName val="КНС"/>
      <sheetName val="Аммиак"/>
      <sheetName val="Кредиты"/>
      <sheetName val="Валютный"/>
      <sheetName val="Налоги"/>
      <sheetName val="бд"/>
    </sheetNames>
    <sheetDataSet>
      <sheetData sheetId="0" refreshError="1"/>
      <sheetData sheetId="1" refreshError="1">
        <row r="5">
          <cell r="D5">
            <v>0.24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  <sheetName val="Лист2"/>
      <sheetName val="Лист3"/>
      <sheetName val="Намуна РАСЧЕТ ТЭО"/>
    </sheetNames>
    <sheetDataSet>
      <sheetData sheetId="0" refreshError="1">
        <row r="10">
          <cell r="C10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F8">
            <v>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Прибыли и убытки"/>
      <sheetName val="текущее состояние"/>
      <sheetName val="Притоки и оттоки"/>
      <sheetName val="фин ресурсы"/>
      <sheetName val="Зарплата"/>
      <sheetName val="коэф оборач"/>
      <sheetName val="кап вл"/>
      <sheetName val="Условия кредитов"/>
      <sheetName val="Сырье"/>
      <sheetName val="Амортизация"/>
      <sheetName val="Годовые издержки"/>
      <sheetName val="Кальк НКФУ"/>
      <sheetName val="План продаж"/>
      <sheetName val="Налоги"/>
      <sheetName val="Ст-сть проекта"/>
      <sheetName val="Выборка кредита"/>
      <sheetName val="Кредит1"/>
      <sheetName val="Кредит2"/>
      <sheetName val="Кредит3"/>
      <sheetName val="Кредиты"/>
      <sheetName val="Распр_выр"/>
      <sheetName val="табл чувств"/>
      <sheetName val="Spider1"/>
      <sheetName val="Spider2"/>
      <sheetName val="Обор капитал"/>
      <sheetName val="код по затратам"/>
      <sheetName val="с_2010"/>
      <sheetName val="с_2011"/>
      <sheetName val="с_2012"/>
      <sheetName val="с_2013"/>
      <sheetName val="с_2014"/>
      <sheetName val="с_2015"/>
      <sheetName val="с_2016"/>
      <sheetName val="с_2017"/>
      <sheetName val="с_2018"/>
    </sheetNames>
    <sheetDataSet>
      <sheetData sheetId="0" refreshError="1">
        <row r="7">
          <cell r="B7">
            <v>10</v>
          </cell>
        </row>
        <row r="14">
          <cell r="B14">
            <v>1227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CHEME"/>
      <sheetName val="Главный вар"/>
      <sheetName val="Ст-сть проекта"/>
      <sheetName val="КБР"/>
      <sheetName val="КБР2"/>
      <sheetName val="КБР3"/>
      <sheetName val="ФРР"/>
      <sheetName val="Кредиты"/>
      <sheetName val="Materials (1)"/>
      <sheetName val="Materials (2)"/>
      <sheetName val="Materials (3)"/>
      <sheetName val="Materials (4)"/>
      <sheetName val="Materials (5.1)"/>
      <sheetName val="Materials (5)"/>
      <sheetName val="Materials (6)"/>
      <sheetName val="Materials (7)"/>
      <sheetName val="Materials (8)"/>
      <sheetName val="Materials (9)"/>
      <sheetName val="Materials (10)"/>
      <sheetName val="Materials"/>
      <sheetName val="План пр-ва_1"/>
      <sheetName val="План продаж_1"/>
      <sheetName val="этап 1 (3)"/>
      <sheetName val="Годовые издержки"/>
      <sheetName val="Обор капитал"/>
      <sheetName val="Прибыли и убытки"/>
      <sheetName val="фин ресурсы"/>
      <sheetName val="Налоги"/>
      <sheetName val="Амортизация2"/>
      <sheetName val="Амортизация1"/>
      <sheetName val="Data input"/>
      <sheetName val="кап.влож"/>
      <sheetName val="Коэф обор"/>
      <sheetName val="КредитФРР (3)"/>
      <sheetName val="Зарплата"/>
      <sheetName val="Лист1 (2)"/>
      <sheetName val="табл чувств"/>
      <sheetName val="КредитФРР (2)"/>
      <sheetName val="Притоки и оттоки"/>
      <sheetName val="фин ресурсы (2)"/>
      <sheetName val="вар2"/>
      <sheetName val="Capex"/>
      <sheetName val="План продаж_2"/>
      <sheetName val="План пр-ва_2"/>
      <sheetName val="сущ. ОФ"/>
      <sheetName val="Spider1"/>
      <sheetName val="Spider2"/>
      <sheetName val="Распр_выр"/>
      <sheetName val="Лист8"/>
      <sheetName val="Диаграмма2"/>
      <sheetName val="Анализ"/>
      <sheetName val="Sales&amp;Costs"/>
      <sheetName val="cash flow"/>
      <sheetName val="Диаграмма3"/>
      <sheetName val="Диаграмма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>
            <v>2008</v>
          </cell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  <cell r="Q4">
            <v>2022</v>
          </cell>
          <cell r="R4">
            <v>2023</v>
          </cell>
          <cell r="S4">
            <v>2024</v>
          </cell>
          <cell r="T4">
            <v>2025</v>
          </cell>
          <cell r="U4">
            <v>2026</v>
          </cell>
          <cell r="V4">
            <v>2027</v>
          </cell>
          <cell r="W4">
            <v>2028</v>
          </cell>
          <cell r="X4">
            <v>2029</v>
          </cell>
          <cell r="Y4">
            <v>2030</v>
          </cell>
          <cell r="Z4">
            <v>2031</v>
          </cell>
          <cell r="AA4">
            <v>2032</v>
          </cell>
          <cell r="AB4">
            <v>2033</v>
          </cell>
          <cell r="AC4">
            <v>2034</v>
          </cell>
          <cell r="AD4">
            <v>2035</v>
          </cell>
          <cell r="AE4">
            <v>2036</v>
          </cell>
          <cell r="AF4">
            <v>2037</v>
          </cell>
        </row>
        <row r="6">
          <cell r="C6">
            <v>0.55500946727272726</v>
          </cell>
          <cell r="D6">
            <v>0.55500946727272726</v>
          </cell>
          <cell r="E6">
            <v>0.55500946727272726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</row>
      </sheetData>
      <sheetData sheetId="2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25">
          <cell r="C25">
            <v>29.486163065116134</v>
          </cell>
          <cell r="D25">
            <v>30.960471218371943</v>
          </cell>
          <cell r="E25">
            <v>30.960471218371943</v>
          </cell>
          <cell r="F25">
            <v>30.960471218371943</v>
          </cell>
          <cell r="G25">
            <v>30.960471218371943</v>
          </cell>
          <cell r="H25">
            <v>30.960471218371943</v>
          </cell>
          <cell r="I25">
            <v>30.960471218371943</v>
          </cell>
          <cell r="J25">
            <v>30.960471218371943</v>
          </cell>
          <cell r="K25">
            <v>30.960471218371943</v>
          </cell>
          <cell r="L25">
            <v>30.960471218371943</v>
          </cell>
          <cell r="M25">
            <v>30.960471218371943</v>
          </cell>
          <cell r="N25">
            <v>30.960471218371943</v>
          </cell>
          <cell r="O25">
            <v>30.960471218371943</v>
          </cell>
          <cell r="P25">
            <v>30.960471218371943</v>
          </cell>
          <cell r="Q25">
            <v>30.960471218371943</v>
          </cell>
          <cell r="R25">
            <v>30.960471218371943</v>
          </cell>
          <cell r="S25">
            <v>30.960471218371943</v>
          </cell>
          <cell r="T25">
            <v>30.960471218371943</v>
          </cell>
          <cell r="U25">
            <v>30.960471218371943</v>
          </cell>
          <cell r="V25">
            <v>30.960471218371943</v>
          </cell>
          <cell r="W25">
            <v>30.960471218371943</v>
          </cell>
          <cell r="X25">
            <v>30.960471218371943</v>
          </cell>
          <cell r="Y25">
            <v>30.960471218371943</v>
          </cell>
          <cell r="Z25">
            <v>30.960471218371943</v>
          </cell>
          <cell r="AA25">
            <v>30.960471218371943</v>
          </cell>
          <cell r="AB25">
            <v>30.960471218371943</v>
          </cell>
          <cell r="AC25">
            <v>30.960471218371943</v>
          </cell>
          <cell r="AD25">
            <v>30.960471218371943</v>
          </cell>
          <cell r="AE25">
            <v>30.960471218371943</v>
          </cell>
          <cell r="AF25">
            <v>30.960471218371943</v>
          </cell>
        </row>
        <row r="26">
          <cell r="C26">
            <v>8.6379714699257715</v>
          </cell>
          <cell r="D26">
            <v>8.6379714699257715</v>
          </cell>
          <cell r="E26">
            <v>8.6379714699257715</v>
          </cell>
          <cell r="F26">
            <v>8.6379714699257715</v>
          </cell>
          <cell r="G26">
            <v>8.6379714699257715</v>
          </cell>
          <cell r="H26">
            <v>8.6379714699257715</v>
          </cell>
          <cell r="I26">
            <v>8.6379714699257715</v>
          </cell>
          <cell r="J26">
            <v>8.6379714699257715</v>
          </cell>
          <cell r="K26">
            <v>8.6379714699257715</v>
          </cell>
          <cell r="L26">
            <v>8.6379714699257715</v>
          </cell>
          <cell r="M26">
            <v>8.6379714699257715</v>
          </cell>
          <cell r="N26">
            <v>8.6379714699257715</v>
          </cell>
          <cell r="O26">
            <v>8.6379714699257715</v>
          </cell>
          <cell r="P26">
            <v>8.6379714699257715</v>
          </cell>
          <cell r="Q26">
            <v>8.6379714699257715</v>
          </cell>
          <cell r="R26">
            <v>8.6379714699257715</v>
          </cell>
          <cell r="S26">
            <v>8.6379714699257715</v>
          </cell>
          <cell r="T26">
            <v>8.6379714699257715</v>
          </cell>
          <cell r="U26">
            <v>8.6379714699257715</v>
          </cell>
          <cell r="V26">
            <v>8.6379714699257715</v>
          </cell>
          <cell r="W26">
            <v>8.6379714699257715</v>
          </cell>
          <cell r="X26">
            <v>8.6379714699257715</v>
          </cell>
          <cell r="Y26">
            <v>8.6379714699257715</v>
          </cell>
          <cell r="Z26">
            <v>8.6379714699257715</v>
          </cell>
          <cell r="AA26">
            <v>8.6379714699257715</v>
          </cell>
          <cell r="AB26">
            <v>8.6379714699257715</v>
          </cell>
          <cell r="AC26">
            <v>8.6379714699257715</v>
          </cell>
          <cell r="AD26">
            <v>8.6379714699257715</v>
          </cell>
          <cell r="AE26">
            <v>8.6379714699257715</v>
          </cell>
          <cell r="AF26">
            <v>8.6379714699257715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B6">
            <v>2008</v>
          </cell>
        </row>
        <row r="7">
          <cell r="B7">
            <v>2010</v>
          </cell>
        </row>
        <row r="8">
          <cell r="B8">
            <v>20</v>
          </cell>
        </row>
        <row r="10">
          <cell r="B10">
            <v>2010</v>
          </cell>
        </row>
        <row r="11">
          <cell r="B11">
            <v>0</v>
          </cell>
        </row>
        <row r="14">
          <cell r="B14" t="str">
            <v>долл.</v>
          </cell>
        </row>
        <row r="15">
          <cell r="B15">
            <v>1291.97</v>
          </cell>
        </row>
        <row r="20">
          <cell r="B20">
            <v>11000</v>
          </cell>
        </row>
        <row r="21">
          <cell r="B21">
            <v>150</v>
          </cell>
        </row>
        <row r="24">
          <cell r="A24" t="str">
            <v>Электроэнергия</v>
          </cell>
        </row>
        <row r="25">
          <cell r="A25" t="str">
            <v>Тепловая энергия</v>
          </cell>
        </row>
        <row r="39">
          <cell r="B39">
            <v>30.960471218371943</v>
          </cell>
        </row>
        <row r="40">
          <cell r="B40">
            <v>8.6379714699257715</v>
          </cell>
        </row>
      </sheetData>
      <sheetData sheetId="32"/>
      <sheetData sheetId="33"/>
      <sheetData sheetId="34"/>
      <sheetData sheetId="35"/>
      <sheetData sheetId="36"/>
      <sheetData sheetId="37">
        <row r="3">
          <cell r="B3">
            <v>0</v>
          </cell>
        </row>
        <row r="4">
          <cell r="B4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  <sheetName val="s"/>
      <sheetName val="калий"/>
      <sheetName val="Оглавление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свод_СвС"/>
      <sheetName val="ВВОД"/>
      <sheetName val="Цеховые"/>
      <sheetName val="Data input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  <sheetName val="Массив"/>
      <sheetName val="Лист3"/>
      <sheetName val="Зан-ть(р-ны)"/>
      <sheetName val="База"/>
      <sheetName val="Нарх"/>
      <sheetName val="Пункт"/>
      <sheetName val="Гай пахта"/>
      <sheetName val="Пахта-галла-тижорат"/>
      <sheetName val="Фориш 2003"/>
      <sheetName val="Уюшмага_2-Ф1"/>
      <sheetName val="уюшмага10,09_холатига1"/>
      <sheetName val="Жами_свод1"/>
      <sheetName val="Уюшмага_Форма-21"/>
      <sheetName val="Уюшмага_Ж10,091"/>
      <sheetName val="Уюшмага_2-Ф"/>
      <sheetName val="уюшмага10,09_холатига"/>
      <sheetName val="Жами_свод"/>
      <sheetName val="Уюшмага_Форма-2"/>
      <sheetName val="Уюшмага_Ж10,09"/>
      <sheetName val="Results"/>
      <sheetName val="Уюшмага_2-Ф2"/>
      <sheetName val="уюшмага10,09_холатига2"/>
      <sheetName val="Жами_свод2"/>
      <sheetName val="Уюшмага_Форма-22"/>
      <sheetName val="Уюшмага_Ж10,092"/>
      <sheetName val="коэф роста"/>
      <sheetName val="ФО"/>
      <sheetName val="Гай_пахта"/>
      <sheetName val="Фориш_200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режа"/>
      <sheetName val="Дефектная ведомость"/>
      <sheetName val="Уюшмага 2-Ф"/>
      <sheetName val="Жами свод"/>
      <sheetName val="Уюшмага Форма-2"/>
      <sheetName val="Уюшмага Ж10,09"/>
      <sheetName val="К.смета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ер ресурс"/>
      <sheetName val="11 жадвал"/>
      <sheetName val="10 жадвал"/>
      <sheetName val="s"/>
      <sheetName val="63- протокол (4)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c"/>
      <sheetName val="KAT2344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сталь по годам"/>
      <sheetName val="транспортировка"/>
      <sheetName val="экс_хар"/>
      <sheetName val="фориш_свод9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11_жадвал2"/>
      <sheetName val="10_жадвал2"/>
      <sheetName val="63-_протокол_(4)5"/>
      <sheetName val="экс_хар1"/>
      <sheetName val="сталь_по_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К_смета4"/>
      <sheetName val="Жад_304"/>
      <sheetName val="ер_ресурс4"/>
      <sheetName val="63-_протокол_(4)4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МФО руйхат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Store"/>
      <sheetName val="Тохирбек 2003-1"/>
      <sheetName val="п2"/>
      <sheetName val="анализ.чувст"/>
      <sheetName val="2 доход-вариант с формулой"/>
      <sheetName val="#ССЫЛКА"/>
      <sheetName val="Нокон хол"/>
      <sheetName val="Исходные1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структура"/>
      <sheetName val="G1"/>
      <sheetName val="ИСХД"/>
      <sheetName val="Тохирбек%202003-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>
        <row r="4">
          <cell r="O4">
            <v>67.099999999999994</v>
          </cell>
        </row>
      </sheetData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 refreshError="1"/>
      <sheetData sheetId="152" refreshError="1"/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>
        <row r="4">
          <cell r="O4">
            <v>67.099999999999994</v>
          </cell>
        </row>
      </sheetData>
      <sheetData sheetId="179" refreshError="1"/>
      <sheetData sheetId="180" refreshError="1"/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>
        <row r="4">
          <cell r="O4">
            <v>67.099999999999994</v>
          </cell>
        </row>
      </sheetData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 refreshError="1"/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>
        <row r="4">
          <cell r="O4">
            <v>67.099999999999994</v>
          </cell>
        </row>
      </sheetData>
      <sheetData sheetId="508">
        <row r="4">
          <cell r="O4">
            <v>0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0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">
          <cell r="C21">
            <v>808459</v>
          </cell>
        </row>
        <row r="22">
          <cell r="C22">
            <v>1923250</v>
          </cell>
        </row>
        <row r="23">
          <cell r="C23">
            <v>639192</v>
          </cell>
        </row>
        <row r="27">
          <cell r="C27">
            <v>8499486.5</v>
          </cell>
        </row>
        <row r="28">
          <cell r="C28">
            <v>41273</v>
          </cell>
        </row>
        <row r="29">
          <cell r="C29">
            <v>0</v>
          </cell>
        </row>
        <row r="30">
          <cell r="C30">
            <v>0</v>
          </cell>
        </row>
        <row r="53">
          <cell r="C53">
            <v>8628800</v>
          </cell>
        </row>
        <row r="55">
          <cell r="C55">
            <v>687570</v>
          </cell>
        </row>
        <row r="57">
          <cell r="C57">
            <v>79526645.5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36139274</v>
          </cell>
        </row>
        <row r="66">
          <cell r="C66">
            <v>578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1260590</v>
          </cell>
        </row>
        <row r="72">
          <cell r="C72">
            <v>612051</v>
          </cell>
        </row>
        <row r="73">
          <cell r="C73">
            <v>878651</v>
          </cell>
        </row>
        <row r="74">
          <cell r="C74">
            <v>95813</v>
          </cell>
        </row>
        <row r="75">
          <cell r="C75">
            <v>0</v>
          </cell>
        </row>
        <row r="76">
          <cell r="C76">
            <v>11382</v>
          </cell>
        </row>
        <row r="78">
          <cell r="C78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8">
          <cell r="C88">
            <v>0</v>
          </cell>
        </row>
        <row r="89">
          <cell r="C89">
            <v>0</v>
          </cell>
        </row>
        <row r="91">
          <cell r="C91">
            <v>1919655</v>
          </cell>
        </row>
        <row r="92">
          <cell r="C92">
            <v>3000</v>
          </cell>
        </row>
        <row r="93">
          <cell r="C93">
            <v>981134</v>
          </cell>
        </row>
        <row r="94">
          <cell r="C94">
            <v>0</v>
          </cell>
        </row>
        <row r="95">
          <cell r="C95">
            <v>440077</v>
          </cell>
        </row>
        <row r="96">
          <cell r="C96">
            <v>382945</v>
          </cell>
        </row>
        <row r="97">
          <cell r="C97">
            <v>44123</v>
          </cell>
        </row>
        <row r="98">
          <cell r="C98">
            <v>21343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85176</v>
          </cell>
        </row>
        <row r="103">
          <cell r="C103">
            <v>1660398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20">
          <cell r="C120">
            <v>1667239.96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15000</v>
          </cell>
        </row>
        <row r="129">
          <cell r="C129">
            <v>30000</v>
          </cell>
        </row>
        <row r="130">
          <cell r="C130">
            <v>43920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40">
          <cell r="C140">
            <v>943084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6">
          <cell r="C146">
            <v>70113</v>
          </cell>
        </row>
        <row r="149">
          <cell r="C149">
            <v>0</v>
          </cell>
        </row>
        <row r="150">
          <cell r="C150">
            <v>32000</v>
          </cell>
        </row>
        <row r="151">
          <cell r="C151">
            <v>17250</v>
          </cell>
        </row>
        <row r="152">
          <cell r="C152">
            <v>18172</v>
          </cell>
        </row>
        <row r="153">
          <cell r="C153">
            <v>0</v>
          </cell>
        </row>
        <row r="157">
          <cell r="C157">
            <v>138739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52735</v>
          </cell>
        </row>
        <row r="162">
          <cell r="C162">
            <v>80322</v>
          </cell>
        </row>
        <row r="163">
          <cell r="C163">
            <v>136220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28458</v>
          </cell>
        </row>
        <row r="167">
          <cell r="C167">
            <v>4894737.5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31741</v>
          </cell>
        </row>
        <row r="173">
          <cell r="C173">
            <v>77405</v>
          </cell>
        </row>
        <row r="174">
          <cell r="C174">
            <v>0</v>
          </cell>
        </row>
        <row r="175">
          <cell r="C175">
            <v>0</v>
          </cell>
        </row>
        <row r="178">
          <cell r="C178">
            <v>0</v>
          </cell>
        </row>
        <row r="179">
          <cell r="C179">
            <v>0</v>
          </cell>
        </row>
        <row r="181">
          <cell r="C181">
            <v>0</v>
          </cell>
        </row>
        <row r="185">
          <cell r="C185">
            <v>15114</v>
          </cell>
        </row>
        <row r="186">
          <cell r="C186">
            <v>24442</v>
          </cell>
        </row>
        <row r="188">
          <cell r="C188">
            <v>0</v>
          </cell>
        </row>
        <row r="189">
          <cell r="C189">
            <v>0</v>
          </cell>
        </row>
        <row r="193">
          <cell r="C193">
            <v>0</v>
          </cell>
        </row>
        <row r="194">
          <cell r="C194">
            <v>1465229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250000</v>
          </cell>
        </row>
        <row r="204">
          <cell r="C204">
            <v>0</v>
          </cell>
        </row>
        <row r="206">
          <cell r="C206">
            <v>582475</v>
          </cell>
        </row>
        <row r="207">
          <cell r="C207">
            <v>313531</v>
          </cell>
        </row>
        <row r="211">
          <cell r="C211">
            <v>618980</v>
          </cell>
        </row>
        <row r="212">
          <cell r="C212">
            <v>312437</v>
          </cell>
        </row>
        <row r="213">
          <cell r="C213">
            <v>3894345</v>
          </cell>
        </row>
        <row r="214">
          <cell r="C214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2852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C227">
            <v>-72769025.628571466</v>
          </cell>
          <cell r="D227">
            <v>-39288847.342857197</v>
          </cell>
          <cell r="E227">
            <v>-4642149.8916912824</v>
          </cell>
          <cell r="F227">
            <v>-2941178.9555594176</v>
          </cell>
        </row>
        <row r="229">
          <cell r="C229">
            <v>49972318</v>
          </cell>
          <cell r="D229">
            <v>74650700</v>
          </cell>
          <cell r="E229">
            <v>84718112</v>
          </cell>
          <cell r="F229">
            <v>87023430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10657452</v>
          </cell>
        </row>
        <row r="215">
          <cell r="C215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гтжт"/>
      <sheetName val="УгтжтЩебень"/>
      <sheetName val="Угтжт опоры"/>
      <sheetName val="РГТОпр"/>
      <sheetName val="КуЭн"/>
      <sheetName val="АлКуПр"/>
      <sheetName val="ГРЭ"/>
      <sheetName val="Рзр"/>
      <sheetName val="Шхт"/>
      <sheetName val="УАТ"/>
      <sheetName val="КуКу"/>
      <sheetName val="УМТС"/>
      <sheetName val="Исполнит"/>
      <sheetName val="Свод"/>
      <sheetName val="РасчПрСтор"/>
      <sheetName val="РасчН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C18">
            <v>0</v>
          </cell>
        </row>
        <row r="35">
          <cell r="C3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8">
          <cell r="B18">
            <v>854248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5">
          <cell r="C25">
            <v>111897.5</v>
          </cell>
        </row>
        <row r="26">
          <cell r="C26">
            <v>100</v>
          </cell>
        </row>
        <row r="27">
          <cell r="C27">
            <v>0</v>
          </cell>
        </row>
        <row r="28">
          <cell r="C28">
            <v>0</v>
          </cell>
        </row>
        <row r="51">
          <cell r="C51">
            <v>0</v>
          </cell>
        </row>
        <row r="53">
          <cell r="C53">
            <v>4201</v>
          </cell>
        </row>
        <row r="55">
          <cell r="C55">
            <v>159692.5</v>
          </cell>
        </row>
        <row r="59">
          <cell r="C59">
            <v>0</v>
          </cell>
        </row>
        <row r="60">
          <cell r="C60">
            <v>0</v>
          </cell>
        </row>
        <row r="63">
          <cell r="C63">
            <v>188061</v>
          </cell>
        </row>
        <row r="67">
          <cell r="C67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3">
          <cell r="C73">
            <v>0</v>
          </cell>
        </row>
        <row r="75">
          <cell r="C75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7">
          <cell r="C87">
            <v>0</v>
          </cell>
        </row>
        <row r="88">
          <cell r="C88">
            <v>0</v>
          </cell>
        </row>
        <row r="91">
          <cell r="C91">
            <v>1147</v>
          </cell>
        </row>
        <row r="92">
          <cell r="C92">
            <v>0</v>
          </cell>
        </row>
        <row r="93">
          <cell r="C93">
            <v>9111.5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2105.5</v>
          </cell>
        </row>
        <row r="97">
          <cell r="C97">
            <v>412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3">
          <cell r="C103">
            <v>20146</v>
          </cell>
        </row>
        <row r="104">
          <cell r="C104">
            <v>172</v>
          </cell>
        </row>
        <row r="105">
          <cell r="C105">
            <v>0</v>
          </cell>
        </row>
        <row r="107">
          <cell r="C107">
            <v>0</v>
          </cell>
        </row>
        <row r="135">
          <cell r="C135">
            <v>2770</v>
          </cell>
        </row>
        <row r="146">
          <cell r="C146">
            <v>5540</v>
          </cell>
        </row>
        <row r="147">
          <cell r="C147">
            <v>5540</v>
          </cell>
        </row>
        <row r="148">
          <cell r="C148">
            <v>0</v>
          </cell>
        </row>
        <row r="149">
          <cell r="C149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6">
          <cell r="C166">
            <v>0</v>
          </cell>
        </row>
        <row r="167">
          <cell r="C167">
            <v>0</v>
          </cell>
        </row>
        <row r="170">
          <cell r="C170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82">
          <cell r="C182">
            <v>0</v>
          </cell>
        </row>
        <row r="183">
          <cell r="C183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1108</v>
          </cell>
        </row>
        <row r="201">
          <cell r="C201">
            <v>295</v>
          </cell>
        </row>
        <row r="202">
          <cell r="C202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</sheetData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зрУ"/>
      <sheetName val="приложение (разрез)"/>
      <sheetName val="Рзр (вскрыша)"/>
      <sheetName val="Рзр(доп.вскрыша)"/>
      <sheetName val="Угтжтуголь"/>
      <sheetName val="приложение (УЖДТ)"/>
      <sheetName val="Угтжт(вскрыша)"/>
      <sheetName val="Угтжт (доп.вскрыша)"/>
      <sheetName val="УАТпр(уголь)"/>
      <sheetName val="приложение (УАТТ)"/>
      <sheetName val="УАТпр (вскрыша)"/>
      <sheetName val="УАТпр (доп.вскрыша)"/>
      <sheetName val="РГТОпр(уголь)"/>
      <sheetName val="РГТОпр (вскрыша)"/>
      <sheetName val="РГТОпр (доп.вскрыша)"/>
      <sheetName val="КуЭн(уголь)"/>
      <sheetName val="КуЭн (вскрыша)"/>
      <sheetName val="КуЭн (доп.вскрыша)"/>
      <sheetName val="КуЭн+Алку (вскрыша)"/>
      <sheetName val="КуЭн+Алку (доп.вскрыша)"/>
      <sheetName val="АлКуПр(уголь)"/>
      <sheetName val="АлКуПр (вскрыша)"/>
      <sheetName val="АлКуПр (доп.вскрыша)"/>
      <sheetName val="ГРЭ(уголь)"/>
      <sheetName val="ГРЭ (вскрыша)"/>
      <sheetName val="ГРЭ (доп.вскрыша)"/>
      <sheetName val="УМТС (уголь)"/>
      <sheetName val="УМТС (вскрыша)"/>
      <sheetName val="УМТС (доп.вскрыша)"/>
      <sheetName val="ИА (уголь)"/>
      <sheetName val="ИА (вскрыша)"/>
      <sheetName val="ИА (доп.вскрыша)"/>
      <sheetName val="КуКуПр"/>
      <sheetName val="КуКуПр (вскрыша)"/>
      <sheetName val="КуКуПр (оползень)"/>
      <sheetName val="АО(вскрыша)"/>
      <sheetName val="АО(доп.вскрыша)"/>
      <sheetName val="приложение"/>
      <sheetName val="Аппартак"/>
      <sheetName val="Аппартак (вскрыша)"/>
      <sheetName val="Аппартак (доп.вскрыша) "/>
      <sheetName val="приложение (2)"/>
      <sheetName val="АО(вскрыша всего)"/>
      <sheetName val="АО(доп.вскрыша всего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6">
          <cell r="C116">
            <v>37240156</v>
          </cell>
        </row>
      </sheetData>
      <sheetData sheetId="37"/>
      <sheetData sheetId="38"/>
      <sheetData sheetId="39"/>
      <sheetData sheetId="40"/>
      <sheetData sheetId="41"/>
      <sheetData sheetId="42"/>
      <sheetData sheetId="43">
        <row r="116">
          <cell r="C116">
            <v>37240156</v>
          </cell>
        </row>
        <row r="139">
          <cell r="D139">
            <v>2197101</v>
          </cell>
          <cell r="E139">
            <v>2173657</v>
          </cell>
          <cell r="F139">
            <v>2017261</v>
          </cell>
        </row>
        <row r="170">
          <cell r="D170">
            <v>1576578</v>
          </cell>
          <cell r="E170">
            <v>1560499</v>
          </cell>
          <cell r="F170">
            <v>1426510</v>
          </cell>
        </row>
      </sheetData>
      <sheetData sheetId="4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зрУ"/>
      <sheetName val="приложение (разрез)"/>
      <sheetName val="Рзр (вскрыша)"/>
      <sheetName val="Рзр(доп.вскрыша)"/>
      <sheetName val="Угтжтуголь"/>
      <sheetName val="приложение (УЖДТ)"/>
      <sheetName val="Угтжт(вскрыша)"/>
      <sheetName val="Угтжт (доп.вскрыша)"/>
      <sheetName val="УАТпр(уголь)"/>
      <sheetName val="приложение (УАТТ)"/>
      <sheetName val="УАТпр (вскрыша)"/>
      <sheetName val="УАТпр (доп.вскрыша)"/>
      <sheetName val="РГТОпр(уголь)"/>
      <sheetName val="РГТОпр (вскрыша)"/>
      <sheetName val="РГТОпр (доп.вскрыша)"/>
      <sheetName val="КуЭн(уголь)"/>
      <sheetName val="КуЭн (вскрыша)"/>
      <sheetName val="КуЭн (доп.вскрыша)"/>
      <sheetName val="КуЭн+Алку (вскрыша)"/>
      <sheetName val="КуЭн+Алку (доп.вскрыша)"/>
      <sheetName val="АлКуПр(уголь)"/>
      <sheetName val="АлКуПр (вскрыша)"/>
      <sheetName val="АлКуПр (доп.вскрыша)"/>
      <sheetName val="ГРЭ(уголь)"/>
      <sheetName val="ГРЭ (вскрыша)"/>
      <sheetName val="ГРЭ (доп.вскрыша)"/>
      <sheetName val="УМТС (уголь)"/>
      <sheetName val="УМТС (вскрыша)"/>
      <sheetName val="УМТС (доп.вскрыша)"/>
      <sheetName val="ИА (уголь)"/>
      <sheetName val="ИА (вскрыша)"/>
      <sheetName val="ИА (доп.вскрыша)"/>
      <sheetName val="КуКуПр"/>
      <sheetName val="КуКуПр (вскрыша)"/>
      <sheetName val="КуКуПр (оползень)"/>
      <sheetName val="АО(вскрыша)"/>
      <sheetName val="АО(доп.вскрыша)"/>
      <sheetName val="приложение"/>
      <sheetName val="Аппартак"/>
      <sheetName val="Аппартак (вскрыша)"/>
      <sheetName val="Аппартак (доп.вскрыша) "/>
      <sheetName val="приложение (2)"/>
      <sheetName val="АО(вскрыша всего)"/>
      <sheetName val="АО(доп.вскрыша всего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39">
          <cell r="B139">
            <v>7926426</v>
          </cell>
        </row>
      </sheetData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95">
          <cell r="E95">
            <v>440215</v>
          </cell>
        </row>
        <row r="96">
          <cell r="E96">
            <v>1012331.5</v>
          </cell>
        </row>
        <row r="97">
          <cell r="E97">
            <v>72074</v>
          </cell>
        </row>
        <row r="98">
          <cell r="E98">
            <v>21343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1065556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в долл (2)"/>
      <sheetName val="G0"/>
      <sheetName val="G1"/>
      <sheetName val="G2"/>
      <sheetName val="Стоимость проектов "/>
      <sheetName val="Корот. программа"/>
      <sheetName val="Предп.Кредиты"/>
      <sheetName val="Перспект.проекты"/>
      <sheetName val="Строит ГЭС"/>
      <sheetName val="Кред"/>
      <sheetName val="Дейc. кр."/>
      <sheetName val="Погашение Кр."/>
      <sheetName val="программа"/>
      <sheetName val="ФО_ЭЭ"/>
      <sheetName val="ТЭ_Т"/>
      <sheetName val="Сводн_фин_рез"/>
      <sheetName val="Сводн_фин_рез (2)"/>
      <sheetName val="в долл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КаракалпакПЭС"/>
      <sheetName val="АндижанПЭС"/>
      <sheetName val="БухараПЭС"/>
      <sheetName val="ДжизакПЭС"/>
      <sheetName val="КашкадарьяПЭС"/>
      <sheetName val="НаманганПЭС"/>
      <sheetName val="НавоийПЭС"/>
      <sheetName val="СырдарьяПЭС"/>
      <sheetName val="СамаркандПЭС"/>
      <sheetName val="СурхандарьяПЭС"/>
      <sheetName val="ТашгорПЭС"/>
      <sheetName val="ТашПЭС"/>
      <sheetName val="ФерганаПЭС"/>
      <sheetName val="ХорезмПЭС"/>
      <sheetName val="Выборка кредитов"/>
      <sheetName val="амортизация"/>
      <sheetName val="РЕГИОН"/>
      <sheetName val="баланс топл."/>
      <sheetName val="бал_р"/>
      <sheetName val="cн"/>
      <sheetName val="произ_ эл.эн"/>
      <sheetName val="отпуск_тепл.эн."/>
      <sheetName val="полезн.отп"/>
      <sheetName val="ХН"/>
      <sheetName val="потери"/>
      <sheetName val="топливо"/>
      <sheetName val="прибыль"/>
      <sheetName val="расшифр."/>
      <sheetName val="ср.тариф 10 г"/>
      <sheetName val="модерн 0,4-35"/>
      <sheetName val="Аналитика 2003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</v>
          </cell>
          <cell r="H3">
            <v>2</v>
          </cell>
        </row>
        <row r="5">
          <cell r="D5">
            <v>12</v>
          </cell>
        </row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  <row r="20">
          <cell r="D20">
            <v>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ж а м и"/>
    </sheetNames>
    <sheetDataSet>
      <sheetData sheetId="0" refreshError="1">
        <row r="1">
          <cell r="A1" t="str">
            <v>Акционер 1</v>
          </cell>
        </row>
        <row r="4">
          <cell r="A4" t="str">
            <v>Без названия</v>
          </cell>
        </row>
        <row r="11">
          <cell r="A11" t="str">
            <v>Перечень продуктов проекта</v>
          </cell>
        </row>
        <row r="12">
          <cell r="A12" t="str">
            <v>Наименования:</v>
          </cell>
        </row>
        <row r="18">
          <cell r="A18" t="str">
            <v>Язык финансовых отчетов:</v>
          </cell>
        </row>
        <row r="21">
          <cell r="A21" t="str">
            <v>НАЛОГИ И ДРУГИЕ ОБЩИЕ НАСТРОЙКИ</v>
          </cell>
        </row>
        <row r="24">
          <cell r="B24">
            <v>0.1</v>
          </cell>
        </row>
        <row r="25">
          <cell r="B25">
            <v>0.2</v>
          </cell>
        </row>
        <row r="26">
          <cell r="B26">
            <v>3.5000000000000003E-2</v>
          </cell>
        </row>
        <row r="27">
          <cell r="B27">
            <v>0</v>
          </cell>
        </row>
        <row r="28">
          <cell r="B28">
            <v>0.24</v>
          </cell>
        </row>
        <row r="38">
          <cell r="B38">
            <v>12</v>
          </cell>
        </row>
        <row r="39">
          <cell r="B39">
            <v>12</v>
          </cell>
        </row>
        <row r="40">
          <cell r="B40">
            <v>12</v>
          </cell>
        </row>
        <row r="44">
          <cell r="A44" t="str">
            <v>НАЧАЛЬНЫЙ БАЛАНС</v>
          </cell>
        </row>
        <row r="57">
          <cell r="A57" t="str">
            <v>Запасы сырья и комплектующих</v>
          </cell>
        </row>
        <row r="70">
          <cell r="A70" t="str">
            <v>Кредиты и займы</v>
          </cell>
        </row>
        <row r="86">
          <cell r="A86" t="str">
            <v>КАПИТАЛЬНЫЕ ВЛОЖЕНИЯ</v>
          </cell>
        </row>
        <row r="88">
          <cell r="A88" t="str">
            <v>Приобретение основных средств</v>
          </cell>
        </row>
        <row r="89">
          <cell r="A89" t="str">
            <v>Здания и сооружения</v>
          </cell>
        </row>
        <row r="91">
          <cell r="A91" t="str">
            <v>Оборудование</v>
          </cell>
        </row>
        <row r="93">
          <cell r="A93" t="str">
            <v>Транспортные средства</v>
          </cell>
        </row>
        <row r="95">
          <cell r="A95" t="str">
            <v>Оргтехника</v>
          </cell>
        </row>
        <row r="97">
          <cell r="A97" t="str">
            <v>Прочие основные средства</v>
          </cell>
        </row>
        <row r="99">
          <cell r="A99" t="str">
            <v>Всего приобретение ОС</v>
          </cell>
        </row>
        <row r="103">
          <cell r="A103" t="str">
            <v>ПРОДАЖИ И ПРЯМЫЕ ИЗДЕРЖКИ</v>
          </cell>
        </row>
        <row r="105">
          <cell r="A105" t="str">
            <v>Объем продаж (в единицах продукции)</v>
          </cell>
        </row>
        <row r="108">
          <cell r="A108" t="str">
            <v>Цена продажи (за единицу продукции)</v>
          </cell>
        </row>
        <row r="111">
          <cell r="A111" t="str">
            <v>Стоимость материалов (за ед. продукции)</v>
          </cell>
        </row>
        <row r="114">
          <cell r="A114" t="str">
            <v>Сдельная зарплата (за ед. продукции)</v>
          </cell>
        </row>
        <row r="117">
          <cell r="A117" t="str">
            <v>ОБЩИЕ ИЗДЕРЖКИ</v>
          </cell>
        </row>
        <row r="119">
          <cell r="A119" t="str">
            <v>Производственные издержки</v>
          </cell>
        </row>
        <row r="122">
          <cell r="A122" t="str">
            <v>Административные издержки</v>
          </cell>
        </row>
        <row r="125">
          <cell r="A125" t="str">
            <v>Маркетинговые издержки</v>
          </cell>
        </row>
        <row r="136">
          <cell r="A136" t="str">
            <v>ИТОГО</v>
          </cell>
        </row>
        <row r="138">
          <cell r="A138" t="str">
            <v>ПЕРСОНАЛ</v>
          </cell>
        </row>
        <row r="140">
          <cell r="A140" t="str">
            <v>Производственный персонал</v>
          </cell>
        </row>
        <row r="143">
          <cell r="A143" t="str">
            <v>Административный персонал</v>
          </cell>
        </row>
        <row r="146">
          <cell r="A146" t="str">
            <v>Маркетинговый персонал</v>
          </cell>
        </row>
        <row r="155">
          <cell r="A155" t="str">
            <v>ФИНАНСИРОВАНИЕ</v>
          </cell>
        </row>
        <row r="159">
          <cell r="A159" t="str">
            <v>Кредиты и займы</v>
          </cell>
        </row>
        <row r="164">
          <cell r="B164">
            <v>0.03</v>
          </cell>
        </row>
        <row r="167">
          <cell r="A167" t="str">
            <v>Итого Сумма по процентам</v>
          </cell>
        </row>
        <row r="172">
          <cell r="A172" t="str">
            <v>Акционерный капитал</v>
          </cell>
        </row>
        <row r="175">
          <cell r="B175">
            <v>0</v>
          </cell>
        </row>
        <row r="177">
          <cell r="A177" t="str">
            <v>Лизинговое финансирование</v>
          </cell>
        </row>
        <row r="186">
          <cell r="A186" t="str">
            <v>Итого: Лизинговые платежи</v>
          </cell>
        </row>
      </sheetData>
      <sheetData sheetId="1" refreshError="1">
        <row r="29">
          <cell r="A29" t="str">
            <v>Списание сдельной зарплаты</v>
          </cell>
        </row>
        <row r="35">
          <cell r="A35" t="str">
            <v>Доходы и расходы, по продуктам ($)</v>
          </cell>
        </row>
        <row r="39">
          <cell r="A39" t="str">
            <v>Баланс производства и продаж (ед.)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A8" t="str">
            <v>Продукты: Параметры</v>
          </cell>
        </row>
        <row r="11">
          <cell r="A11" t="str">
            <v>Продукты: Получено денег</v>
          </cell>
        </row>
        <row r="14">
          <cell r="A14" t="str">
            <v>Продукты: Получено НДС</v>
          </cell>
        </row>
        <row r="17">
          <cell r="A17" t="str">
            <v>Продукты: Продажи без НДС</v>
          </cell>
        </row>
        <row r="22">
          <cell r="A22" t="str">
            <v>Материалы/комплектующие</v>
          </cell>
        </row>
        <row r="25">
          <cell r="A25" t="str">
            <v>Материалы/комплектующие</v>
          </cell>
        </row>
        <row r="28">
          <cell r="A28" t="str">
            <v>Материалы/комплектующие</v>
          </cell>
        </row>
        <row r="31">
          <cell r="A31" t="str">
            <v>Материалы/комплектующие</v>
          </cell>
        </row>
        <row r="34">
          <cell r="A34" t="str">
            <v>Материалы/комплектующие</v>
          </cell>
        </row>
        <row r="37">
          <cell r="A37" t="str">
            <v>Материалы/комплектующие</v>
          </cell>
        </row>
        <row r="41">
          <cell r="A41" t="str">
            <v>Активы: здания</v>
          </cell>
        </row>
        <row r="44">
          <cell r="A44" t="str">
            <v>Активы: оборудование</v>
          </cell>
        </row>
        <row r="47">
          <cell r="A47" t="str">
            <v>Активы: транспорт</v>
          </cell>
        </row>
        <row r="50">
          <cell r="A50" t="str">
            <v>Активы: оргтехника</v>
          </cell>
        </row>
        <row r="53">
          <cell r="A53" t="str">
            <v>Активы: прочие</v>
          </cell>
        </row>
        <row r="56">
          <cell r="A56" t="str">
            <v>Активы: здания</v>
          </cell>
        </row>
        <row r="59">
          <cell r="A59" t="str">
            <v>Активы: оборудование</v>
          </cell>
        </row>
        <row r="62">
          <cell r="A62" t="str">
            <v>Активы: транспорт</v>
          </cell>
        </row>
        <row r="65">
          <cell r="A65" t="str">
            <v>Активы: оргтехника</v>
          </cell>
        </row>
        <row r="68">
          <cell r="A68" t="str">
            <v>Активы: прочие</v>
          </cell>
        </row>
        <row r="71">
          <cell r="A71" t="str">
            <v>Активы: здания</v>
          </cell>
        </row>
        <row r="74">
          <cell r="A74" t="str">
            <v>Активы: оборудование</v>
          </cell>
        </row>
        <row r="77">
          <cell r="A77" t="str">
            <v>Активы: транспорт</v>
          </cell>
        </row>
        <row r="80">
          <cell r="A80" t="str">
            <v>Активы: оргтехника</v>
          </cell>
        </row>
        <row r="83">
          <cell r="A83" t="str">
            <v>Активы: прочие</v>
          </cell>
        </row>
        <row r="86">
          <cell r="A86" t="str">
            <v>Активы: здания</v>
          </cell>
        </row>
        <row r="89">
          <cell r="A89" t="str">
            <v>Активы: оборудование</v>
          </cell>
        </row>
        <row r="92">
          <cell r="A92" t="str">
            <v>Активы: транспорт</v>
          </cell>
        </row>
        <row r="95">
          <cell r="A95" t="str">
            <v>Активы: оргтехника</v>
          </cell>
        </row>
        <row r="98">
          <cell r="A98" t="str">
            <v>Активы: прочие</v>
          </cell>
        </row>
        <row r="101">
          <cell r="A101" t="str">
            <v>Активы: здания</v>
          </cell>
        </row>
        <row r="104">
          <cell r="A104" t="str">
            <v>Активы: оборудование</v>
          </cell>
        </row>
        <row r="107">
          <cell r="A107" t="str">
            <v>Активы: транспорт</v>
          </cell>
        </row>
        <row r="110">
          <cell r="A110" t="str">
            <v>Активы: оргтехника</v>
          </cell>
        </row>
        <row r="113">
          <cell r="A113" t="str">
            <v>Активы: прочие</v>
          </cell>
        </row>
        <row r="116">
          <cell r="A116" t="str">
            <v>Активы: здания</v>
          </cell>
        </row>
        <row r="119">
          <cell r="A119" t="str">
            <v>Активы: оборудование</v>
          </cell>
        </row>
        <row r="122">
          <cell r="A122" t="str">
            <v>Активы: транспорт</v>
          </cell>
        </row>
        <row r="125">
          <cell r="A125" t="str">
            <v>Активы: оргтехника</v>
          </cell>
        </row>
        <row r="128">
          <cell r="A128" t="str">
            <v>Активы: прочие</v>
          </cell>
        </row>
        <row r="131">
          <cell r="A131" t="str">
            <v>Активы: здания</v>
          </cell>
        </row>
        <row r="134">
          <cell r="A134" t="str">
            <v>Активы: оборудование</v>
          </cell>
        </row>
        <row r="137">
          <cell r="A137" t="str">
            <v>Активы: транспорт</v>
          </cell>
        </row>
        <row r="140">
          <cell r="A140" t="str">
            <v>Активы: оргтехника</v>
          </cell>
        </row>
        <row r="143">
          <cell r="A143" t="str">
            <v>Активы: прочие</v>
          </cell>
        </row>
        <row r="148">
          <cell r="A148" t="str">
            <v>Общие издержки: производство</v>
          </cell>
        </row>
        <row r="151">
          <cell r="A151" t="str">
            <v>Общие издержки: административные</v>
          </cell>
        </row>
        <row r="154">
          <cell r="A154" t="str">
            <v>Общие издержки: маркетинг</v>
          </cell>
        </row>
        <row r="158">
          <cell r="A158" t="str">
            <v>Общие издержки: производство</v>
          </cell>
        </row>
        <row r="161">
          <cell r="A161" t="str">
            <v>Общие издержки: административные</v>
          </cell>
        </row>
        <row r="164">
          <cell r="A164" t="str">
            <v>Общие издержки: маркетинг</v>
          </cell>
        </row>
        <row r="173">
          <cell r="A173" t="str">
            <v>Персонал: производство</v>
          </cell>
        </row>
        <row r="176">
          <cell r="A176" t="str">
            <v>Персонал: административный</v>
          </cell>
        </row>
        <row r="179">
          <cell r="A179" t="str">
            <v>Персонал: административный</v>
          </cell>
        </row>
        <row r="183">
          <cell r="A183" t="str">
            <v>Акционеры</v>
          </cell>
        </row>
        <row r="185">
          <cell r="A185" t="str">
            <v>Акционеры</v>
          </cell>
        </row>
        <row r="187">
          <cell r="A187" t="str">
            <v>Акционеры</v>
          </cell>
        </row>
      </sheetData>
      <sheetData sheetId="8" refreshError="1">
        <row r="5">
          <cell r="B5">
            <v>1</v>
          </cell>
        </row>
        <row r="6">
          <cell r="B6">
            <v>0</v>
          </cell>
        </row>
        <row r="9">
          <cell r="B9">
            <v>0</v>
          </cell>
        </row>
        <row r="10">
          <cell r="B10">
            <v>6</v>
          </cell>
        </row>
        <row r="13">
          <cell r="B13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33">
          <cell r="B33">
            <v>0</v>
          </cell>
          <cell r="C33">
            <v>0.4</v>
          </cell>
        </row>
        <row r="34">
          <cell r="B34">
            <v>0</v>
          </cell>
          <cell r="C34">
            <v>0.4</v>
          </cell>
        </row>
        <row r="35">
          <cell r="B35">
            <v>0</v>
          </cell>
          <cell r="C35">
            <v>0.4</v>
          </cell>
        </row>
        <row r="41">
          <cell r="B41">
            <v>60</v>
          </cell>
        </row>
        <row r="43">
          <cell r="B43">
            <v>-17961.14345293209</v>
          </cell>
        </row>
        <row r="44">
          <cell r="B44">
            <v>1</v>
          </cell>
        </row>
        <row r="48">
          <cell r="B48">
            <v>1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1</v>
          </cell>
        </row>
        <row r="52">
          <cell r="B52">
            <v>0</v>
          </cell>
        </row>
        <row r="53">
          <cell r="B53">
            <v>0</v>
          </cell>
        </row>
        <row r="61">
          <cell r="B61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структура"/>
    </sheetNames>
    <sheetDataSet>
      <sheetData sheetId="0" refreshError="1">
        <row r="46">
          <cell r="B46">
            <v>0.2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>
        <row r="7">
          <cell r="B7">
            <v>1</v>
          </cell>
        </row>
        <row r="8">
          <cell r="B8">
            <v>6</v>
          </cell>
        </row>
        <row r="26">
          <cell r="B26">
            <v>1.5309464329304356E-2</v>
          </cell>
        </row>
        <row r="40">
          <cell r="B40">
            <v>1</v>
          </cell>
        </row>
        <row r="55">
          <cell r="C55" t="str">
            <v>$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3">
          <cell r="D3">
            <v>1</v>
          </cell>
          <cell r="H3">
            <v>8</v>
          </cell>
        </row>
        <row r="5">
          <cell r="D5">
            <v>12</v>
          </cell>
        </row>
        <row r="7">
          <cell r="C7">
            <v>36526</v>
          </cell>
          <cell r="H7" t="str">
            <v>январь</v>
          </cell>
        </row>
        <row r="8">
          <cell r="C8">
            <v>36557</v>
          </cell>
          <cell r="H8" t="str">
            <v>февраль</v>
          </cell>
        </row>
        <row r="9">
          <cell r="C9">
            <v>36586</v>
          </cell>
          <cell r="H9" t="str">
            <v>март</v>
          </cell>
        </row>
        <row r="10">
          <cell r="C10">
            <v>36617</v>
          </cell>
          <cell r="H10" t="str">
            <v>апрель</v>
          </cell>
        </row>
        <row r="11">
          <cell r="C11">
            <v>36647</v>
          </cell>
          <cell r="H11" t="str">
            <v>май</v>
          </cell>
        </row>
        <row r="12">
          <cell r="C12">
            <v>36678</v>
          </cell>
          <cell r="H12" t="str">
            <v>июнь</v>
          </cell>
        </row>
        <row r="13">
          <cell r="C13">
            <v>36708</v>
          </cell>
          <cell r="H13" t="str">
            <v>июль</v>
          </cell>
        </row>
        <row r="14">
          <cell r="C14">
            <v>36739</v>
          </cell>
          <cell r="H14" t="str">
            <v>август</v>
          </cell>
        </row>
        <row r="15">
          <cell r="C15">
            <v>36770</v>
          </cell>
          <cell r="H15" t="str">
            <v>сентябрь</v>
          </cell>
        </row>
        <row r="16">
          <cell r="C16">
            <v>36800</v>
          </cell>
          <cell r="H16" t="str">
            <v>октябрь</v>
          </cell>
        </row>
        <row r="17">
          <cell r="C17">
            <v>36831</v>
          </cell>
          <cell r="H17" t="str">
            <v>ноябрь</v>
          </cell>
        </row>
        <row r="18">
          <cell r="C18">
            <v>36861</v>
          </cell>
          <cell r="H18" t="str">
            <v>декабрь</v>
          </cell>
        </row>
        <row r="19">
          <cell r="H19" t="e">
            <v>#REF!</v>
          </cell>
        </row>
        <row r="20">
          <cell r="D20">
            <v>12</v>
          </cell>
          <cell r="H20" t="str">
            <v>среднее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Жиззах янги раз"/>
      <sheetName val="Импорт 2000-2002"/>
      <sheetName val="Store"/>
      <sheetName val="BRAKE"/>
      <sheetName val="сана"/>
      <sheetName val="Date"/>
      <sheetName val="Analysis of Interest"/>
      <sheetName val="ж а м и"/>
      <sheetName val="c"/>
      <sheetName val="ВВОД"/>
      <sheetName val="свыше_100тыс_долл_"/>
      <sheetName val="Фориш 2003"/>
      <sheetName val="Зан-ть(р-ны)"/>
      <sheetName val="Data input"/>
      <sheetName val="План пр-ва_1"/>
      <sheetName val="План продаж_1"/>
      <sheetName val="Жиззах_янги_раз"/>
      <sheetName val="Импорт_2000-2002"/>
      <sheetName val="свыше_100тыс_долл_2"/>
      <sheetName val="Жиззах_янги_раз2"/>
      <sheetName val="Импорт_2000-20022"/>
      <sheetName val="свыше_100тыс_долл_1"/>
      <sheetName val="Жиззах_янги_раз1"/>
      <sheetName val="Импорт_2000-20021"/>
      <sheetName val="План пр-ва"/>
      <sheetName val="табл чувств"/>
      <sheetName val="План продаж"/>
      <sheetName val="ФО"/>
      <sheetName val="уюшмага10,09 холатига"/>
      <sheetName val="Лист1 (2)"/>
      <sheetName val="ш.т"/>
      <sheetName val="목적별"/>
      <sheetName val="A-A"/>
      <sheetName val="???"/>
      <sheetName val="Лист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Фин_рес (без вв)"/>
      <sheetName val="Фин_рес (1)"/>
      <sheetName val="сравнение цен (квартал)"/>
      <sheetName val="G0"/>
      <sheetName val="G1"/>
      <sheetName val="G2"/>
      <sheetName val="ФО_ЭЭ"/>
      <sheetName val="ТЭ_Т_СБ"/>
      <sheetName val="Фин_рес"/>
      <sheetName val="БДС_1"/>
      <sheetName val="БДС_1 (2)"/>
      <sheetName val="Тб_ПДС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АндижанЭС"/>
      <sheetName val="БухараЭС"/>
      <sheetName val="ДжизакЭС"/>
      <sheetName val="КаракалпакЭС"/>
      <sheetName val="КашкадарьяЭС"/>
      <sheetName val="НаманганЭС"/>
      <sheetName val="НавоийЭС"/>
      <sheetName val="СырдарьяЭС"/>
      <sheetName val="СамаркандЭС"/>
      <sheetName val="СурхандарьяЭС"/>
      <sheetName val="ТашгорЭС"/>
      <sheetName val="ТашЭС"/>
      <sheetName val="ФерганаЭС"/>
      <sheetName val="ХорезмЭС"/>
      <sheetName val="Узбекуголь"/>
      <sheetName val="Прил_1"/>
      <sheetName val="Прил_2"/>
      <sheetName val="Прил_3"/>
      <sheetName val="Прил_4"/>
      <sheetName val="Прил_5"/>
      <sheetName val="Прил_6"/>
      <sheetName val="Реестр цен"/>
      <sheetName val="Лист1"/>
      <sheetName val="итогоЭнергосистема(факт)"/>
      <sheetName val="G2 (2)"/>
      <sheetName val="Лист1 (2)"/>
      <sheetName val="Лист3"/>
      <sheetName val="Аналитика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2">
          <cell r="D32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</sheetNames>
    <sheetDataSet>
      <sheetData sheetId="0" refreshError="1">
        <row r="6">
          <cell r="C6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>
    <tabColor theme="1"/>
  </sheetPr>
  <dimension ref="A1:S211"/>
  <sheetViews>
    <sheetView tabSelected="1" zoomScale="90" zoomScaleNormal="90" zoomScaleSheetLayoutView="100" workbookViewId="0">
      <pane xSplit="1" ySplit="9" topLeftCell="B75" activePane="bottomRight" state="frozen"/>
      <selection pane="topRight" activeCell="B1" sqref="B1"/>
      <selection pane="bottomLeft" activeCell="A10" sqref="A10"/>
      <selection pane="bottomRight" activeCell="B86" sqref="B86"/>
    </sheetView>
  </sheetViews>
  <sheetFormatPr defaultRowHeight="12.75" outlineLevelRow="1" outlineLevelCol="2"/>
  <cols>
    <col min="1" max="1" width="52" style="2" customWidth="1"/>
    <col min="2" max="2" width="18" style="2" customWidth="1"/>
    <col min="3" max="3" width="17.85546875" style="2" customWidth="1"/>
    <col min="4" max="4" width="15.140625" style="2" customWidth="1"/>
    <col min="5" max="5" width="23.28515625" style="2" customWidth="1"/>
    <col min="6" max="6" width="15.140625" style="2" customWidth="1"/>
    <col min="7" max="7" width="23.42578125" style="2" customWidth="1"/>
    <col min="8" max="9" width="18.7109375" style="2" customWidth="1" outlineLevel="1"/>
    <col min="10" max="10" width="13.85546875" style="2" hidden="1" customWidth="1" outlineLevel="1"/>
    <col min="11" max="11" width="17.28515625" style="2" hidden="1" customWidth="1" outlineLevel="1"/>
    <col min="12" max="12" width="43.7109375" style="2" customWidth="1" outlineLevel="2"/>
    <col min="13" max="13" width="20.7109375" style="2" customWidth="1" outlineLevel="2"/>
    <col min="14" max="14" width="15.5703125" style="2" customWidth="1" outlineLevel="2"/>
    <col min="15" max="15" width="12" style="2" customWidth="1" outlineLevel="1"/>
    <col min="16" max="17" width="9.140625" style="2" customWidth="1" outlineLevel="1"/>
    <col min="18" max="18" width="10.85546875" style="2" customWidth="1" outlineLevel="1"/>
    <col min="19" max="19" width="37.28515625" style="2" customWidth="1"/>
    <col min="20" max="261" width="9.140625" style="2"/>
    <col min="262" max="262" width="44.5703125" style="2" customWidth="1"/>
    <col min="263" max="263" width="17.85546875" style="2" customWidth="1"/>
    <col min="264" max="265" width="15.140625" style="2" customWidth="1"/>
    <col min="266" max="266" width="13.85546875" style="2" customWidth="1"/>
    <col min="267" max="267" width="17.28515625" style="2" customWidth="1"/>
    <col min="268" max="268" width="22.5703125" style="2" customWidth="1"/>
    <col min="269" max="269" width="20.7109375" style="2" customWidth="1"/>
    <col min="270" max="270" width="10.85546875" style="2" customWidth="1"/>
    <col min="271" max="271" width="12" style="2" bestFit="1" customWidth="1"/>
    <col min="272" max="273" width="9.140625" style="2"/>
    <col min="274" max="274" width="10.85546875" style="2" bestFit="1" customWidth="1"/>
    <col min="275" max="517" width="9.140625" style="2"/>
    <col min="518" max="518" width="44.5703125" style="2" customWidth="1"/>
    <col min="519" max="519" width="17.85546875" style="2" customWidth="1"/>
    <col min="520" max="521" width="15.140625" style="2" customWidth="1"/>
    <col min="522" max="522" width="13.85546875" style="2" customWidth="1"/>
    <col min="523" max="523" width="17.28515625" style="2" customWidth="1"/>
    <col min="524" max="524" width="22.5703125" style="2" customWidth="1"/>
    <col min="525" max="525" width="20.7109375" style="2" customWidth="1"/>
    <col min="526" max="526" width="10.85546875" style="2" customWidth="1"/>
    <col min="527" max="527" width="12" style="2" bestFit="1" customWidth="1"/>
    <col min="528" max="529" width="9.140625" style="2"/>
    <col min="530" max="530" width="10.85546875" style="2" bestFit="1" customWidth="1"/>
    <col min="531" max="773" width="9.140625" style="2"/>
    <col min="774" max="774" width="44.5703125" style="2" customWidth="1"/>
    <col min="775" max="775" width="17.85546875" style="2" customWidth="1"/>
    <col min="776" max="777" width="15.140625" style="2" customWidth="1"/>
    <col min="778" max="778" width="13.85546875" style="2" customWidth="1"/>
    <col min="779" max="779" width="17.28515625" style="2" customWidth="1"/>
    <col min="780" max="780" width="22.5703125" style="2" customWidth="1"/>
    <col min="781" max="781" width="20.7109375" style="2" customWidth="1"/>
    <col min="782" max="782" width="10.85546875" style="2" customWidth="1"/>
    <col min="783" max="783" width="12" style="2" bestFit="1" customWidth="1"/>
    <col min="784" max="785" width="9.140625" style="2"/>
    <col min="786" max="786" width="10.85546875" style="2" bestFit="1" customWidth="1"/>
    <col min="787" max="1029" width="9.140625" style="2"/>
    <col min="1030" max="1030" width="44.5703125" style="2" customWidth="1"/>
    <col min="1031" max="1031" width="17.85546875" style="2" customWidth="1"/>
    <col min="1032" max="1033" width="15.140625" style="2" customWidth="1"/>
    <col min="1034" max="1034" width="13.85546875" style="2" customWidth="1"/>
    <col min="1035" max="1035" width="17.28515625" style="2" customWidth="1"/>
    <col min="1036" max="1036" width="22.5703125" style="2" customWidth="1"/>
    <col min="1037" max="1037" width="20.7109375" style="2" customWidth="1"/>
    <col min="1038" max="1038" width="10.85546875" style="2" customWidth="1"/>
    <col min="1039" max="1039" width="12" style="2" bestFit="1" customWidth="1"/>
    <col min="1040" max="1041" width="9.140625" style="2"/>
    <col min="1042" max="1042" width="10.85546875" style="2" bestFit="1" customWidth="1"/>
    <col min="1043" max="1285" width="9.140625" style="2"/>
    <col min="1286" max="1286" width="44.5703125" style="2" customWidth="1"/>
    <col min="1287" max="1287" width="17.85546875" style="2" customWidth="1"/>
    <col min="1288" max="1289" width="15.140625" style="2" customWidth="1"/>
    <col min="1290" max="1290" width="13.85546875" style="2" customWidth="1"/>
    <col min="1291" max="1291" width="17.28515625" style="2" customWidth="1"/>
    <col min="1292" max="1292" width="22.5703125" style="2" customWidth="1"/>
    <col min="1293" max="1293" width="20.7109375" style="2" customWidth="1"/>
    <col min="1294" max="1294" width="10.85546875" style="2" customWidth="1"/>
    <col min="1295" max="1295" width="12" style="2" bestFit="1" customWidth="1"/>
    <col min="1296" max="1297" width="9.140625" style="2"/>
    <col min="1298" max="1298" width="10.85546875" style="2" bestFit="1" customWidth="1"/>
    <col min="1299" max="1541" width="9.140625" style="2"/>
    <col min="1542" max="1542" width="44.5703125" style="2" customWidth="1"/>
    <col min="1543" max="1543" width="17.85546875" style="2" customWidth="1"/>
    <col min="1544" max="1545" width="15.140625" style="2" customWidth="1"/>
    <col min="1546" max="1546" width="13.85546875" style="2" customWidth="1"/>
    <col min="1547" max="1547" width="17.28515625" style="2" customWidth="1"/>
    <col min="1548" max="1548" width="22.5703125" style="2" customWidth="1"/>
    <col min="1549" max="1549" width="20.7109375" style="2" customWidth="1"/>
    <col min="1550" max="1550" width="10.85546875" style="2" customWidth="1"/>
    <col min="1551" max="1551" width="12" style="2" bestFit="1" customWidth="1"/>
    <col min="1552" max="1553" width="9.140625" style="2"/>
    <col min="1554" max="1554" width="10.85546875" style="2" bestFit="1" customWidth="1"/>
    <col min="1555" max="1797" width="9.140625" style="2"/>
    <col min="1798" max="1798" width="44.5703125" style="2" customWidth="1"/>
    <col min="1799" max="1799" width="17.85546875" style="2" customWidth="1"/>
    <col min="1800" max="1801" width="15.140625" style="2" customWidth="1"/>
    <col min="1802" max="1802" width="13.85546875" style="2" customWidth="1"/>
    <col min="1803" max="1803" width="17.28515625" style="2" customWidth="1"/>
    <col min="1804" max="1804" width="22.5703125" style="2" customWidth="1"/>
    <col min="1805" max="1805" width="20.7109375" style="2" customWidth="1"/>
    <col min="1806" max="1806" width="10.85546875" style="2" customWidth="1"/>
    <col min="1807" max="1807" width="12" style="2" bestFit="1" customWidth="1"/>
    <col min="1808" max="1809" width="9.140625" style="2"/>
    <col min="1810" max="1810" width="10.85546875" style="2" bestFit="1" customWidth="1"/>
    <col min="1811" max="2053" width="9.140625" style="2"/>
    <col min="2054" max="2054" width="44.5703125" style="2" customWidth="1"/>
    <col min="2055" max="2055" width="17.85546875" style="2" customWidth="1"/>
    <col min="2056" max="2057" width="15.140625" style="2" customWidth="1"/>
    <col min="2058" max="2058" width="13.85546875" style="2" customWidth="1"/>
    <col min="2059" max="2059" width="17.28515625" style="2" customWidth="1"/>
    <col min="2060" max="2060" width="22.5703125" style="2" customWidth="1"/>
    <col min="2061" max="2061" width="20.7109375" style="2" customWidth="1"/>
    <col min="2062" max="2062" width="10.85546875" style="2" customWidth="1"/>
    <col min="2063" max="2063" width="12" style="2" bestFit="1" customWidth="1"/>
    <col min="2064" max="2065" width="9.140625" style="2"/>
    <col min="2066" max="2066" width="10.85546875" style="2" bestFit="1" customWidth="1"/>
    <col min="2067" max="2309" width="9.140625" style="2"/>
    <col min="2310" max="2310" width="44.5703125" style="2" customWidth="1"/>
    <col min="2311" max="2311" width="17.85546875" style="2" customWidth="1"/>
    <col min="2312" max="2313" width="15.140625" style="2" customWidth="1"/>
    <col min="2314" max="2314" width="13.85546875" style="2" customWidth="1"/>
    <col min="2315" max="2315" width="17.28515625" style="2" customWidth="1"/>
    <col min="2316" max="2316" width="22.5703125" style="2" customWidth="1"/>
    <col min="2317" max="2317" width="20.7109375" style="2" customWidth="1"/>
    <col min="2318" max="2318" width="10.85546875" style="2" customWidth="1"/>
    <col min="2319" max="2319" width="12" style="2" bestFit="1" customWidth="1"/>
    <col min="2320" max="2321" width="9.140625" style="2"/>
    <col min="2322" max="2322" width="10.85546875" style="2" bestFit="1" customWidth="1"/>
    <col min="2323" max="2565" width="9.140625" style="2"/>
    <col min="2566" max="2566" width="44.5703125" style="2" customWidth="1"/>
    <col min="2567" max="2567" width="17.85546875" style="2" customWidth="1"/>
    <col min="2568" max="2569" width="15.140625" style="2" customWidth="1"/>
    <col min="2570" max="2570" width="13.85546875" style="2" customWidth="1"/>
    <col min="2571" max="2571" width="17.28515625" style="2" customWidth="1"/>
    <col min="2572" max="2572" width="22.5703125" style="2" customWidth="1"/>
    <col min="2573" max="2573" width="20.7109375" style="2" customWidth="1"/>
    <col min="2574" max="2574" width="10.85546875" style="2" customWidth="1"/>
    <col min="2575" max="2575" width="12" style="2" bestFit="1" customWidth="1"/>
    <col min="2576" max="2577" width="9.140625" style="2"/>
    <col min="2578" max="2578" width="10.85546875" style="2" bestFit="1" customWidth="1"/>
    <col min="2579" max="2821" width="9.140625" style="2"/>
    <col min="2822" max="2822" width="44.5703125" style="2" customWidth="1"/>
    <col min="2823" max="2823" width="17.85546875" style="2" customWidth="1"/>
    <col min="2824" max="2825" width="15.140625" style="2" customWidth="1"/>
    <col min="2826" max="2826" width="13.85546875" style="2" customWidth="1"/>
    <col min="2827" max="2827" width="17.28515625" style="2" customWidth="1"/>
    <col min="2828" max="2828" width="22.5703125" style="2" customWidth="1"/>
    <col min="2829" max="2829" width="20.7109375" style="2" customWidth="1"/>
    <col min="2830" max="2830" width="10.85546875" style="2" customWidth="1"/>
    <col min="2831" max="2831" width="12" style="2" bestFit="1" customWidth="1"/>
    <col min="2832" max="2833" width="9.140625" style="2"/>
    <col min="2834" max="2834" width="10.85546875" style="2" bestFit="1" customWidth="1"/>
    <col min="2835" max="3077" width="9.140625" style="2"/>
    <col min="3078" max="3078" width="44.5703125" style="2" customWidth="1"/>
    <col min="3079" max="3079" width="17.85546875" style="2" customWidth="1"/>
    <col min="3080" max="3081" width="15.140625" style="2" customWidth="1"/>
    <col min="3082" max="3082" width="13.85546875" style="2" customWidth="1"/>
    <col min="3083" max="3083" width="17.28515625" style="2" customWidth="1"/>
    <col min="3084" max="3084" width="22.5703125" style="2" customWidth="1"/>
    <col min="3085" max="3085" width="20.7109375" style="2" customWidth="1"/>
    <col min="3086" max="3086" width="10.85546875" style="2" customWidth="1"/>
    <col min="3087" max="3087" width="12" style="2" bestFit="1" customWidth="1"/>
    <col min="3088" max="3089" width="9.140625" style="2"/>
    <col min="3090" max="3090" width="10.85546875" style="2" bestFit="1" customWidth="1"/>
    <col min="3091" max="3333" width="9.140625" style="2"/>
    <col min="3334" max="3334" width="44.5703125" style="2" customWidth="1"/>
    <col min="3335" max="3335" width="17.85546875" style="2" customWidth="1"/>
    <col min="3336" max="3337" width="15.140625" style="2" customWidth="1"/>
    <col min="3338" max="3338" width="13.85546875" style="2" customWidth="1"/>
    <col min="3339" max="3339" width="17.28515625" style="2" customWidth="1"/>
    <col min="3340" max="3340" width="22.5703125" style="2" customWidth="1"/>
    <col min="3341" max="3341" width="20.7109375" style="2" customWidth="1"/>
    <col min="3342" max="3342" width="10.85546875" style="2" customWidth="1"/>
    <col min="3343" max="3343" width="12" style="2" bestFit="1" customWidth="1"/>
    <col min="3344" max="3345" width="9.140625" style="2"/>
    <col min="3346" max="3346" width="10.85546875" style="2" bestFit="1" customWidth="1"/>
    <col min="3347" max="3589" width="9.140625" style="2"/>
    <col min="3590" max="3590" width="44.5703125" style="2" customWidth="1"/>
    <col min="3591" max="3591" width="17.85546875" style="2" customWidth="1"/>
    <col min="3592" max="3593" width="15.140625" style="2" customWidth="1"/>
    <col min="3594" max="3594" width="13.85546875" style="2" customWidth="1"/>
    <col min="3595" max="3595" width="17.28515625" style="2" customWidth="1"/>
    <col min="3596" max="3596" width="22.5703125" style="2" customWidth="1"/>
    <col min="3597" max="3597" width="20.7109375" style="2" customWidth="1"/>
    <col min="3598" max="3598" width="10.85546875" style="2" customWidth="1"/>
    <col min="3599" max="3599" width="12" style="2" bestFit="1" customWidth="1"/>
    <col min="3600" max="3601" width="9.140625" style="2"/>
    <col min="3602" max="3602" width="10.85546875" style="2" bestFit="1" customWidth="1"/>
    <col min="3603" max="3845" width="9.140625" style="2"/>
    <col min="3846" max="3846" width="44.5703125" style="2" customWidth="1"/>
    <col min="3847" max="3847" width="17.85546875" style="2" customWidth="1"/>
    <col min="3848" max="3849" width="15.140625" style="2" customWidth="1"/>
    <col min="3850" max="3850" width="13.85546875" style="2" customWidth="1"/>
    <col min="3851" max="3851" width="17.28515625" style="2" customWidth="1"/>
    <col min="3852" max="3852" width="22.5703125" style="2" customWidth="1"/>
    <col min="3853" max="3853" width="20.7109375" style="2" customWidth="1"/>
    <col min="3854" max="3854" width="10.85546875" style="2" customWidth="1"/>
    <col min="3855" max="3855" width="12" style="2" bestFit="1" customWidth="1"/>
    <col min="3856" max="3857" width="9.140625" style="2"/>
    <col min="3858" max="3858" width="10.85546875" style="2" bestFit="1" customWidth="1"/>
    <col min="3859" max="4101" width="9.140625" style="2"/>
    <col min="4102" max="4102" width="44.5703125" style="2" customWidth="1"/>
    <col min="4103" max="4103" width="17.85546875" style="2" customWidth="1"/>
    <col min="4104" max="4105" width="15.140625" style="2" customWidth="1"/>
    <col min="4106" max="4106" width="13.85546875" style="2" customWidth="1"/>
    <col min="4107" max="4107" width="17.28515625" style="2" customWidth="1"/>
    <col min="4108" max="4108" width="22.5703125" style="2" customWidth="1"/>
    <col min="4109" max="4109" width="20.7109375" style="2" customWidth="1"/>
    <col min="4110" max="4110" width="10.85546875" style="2" customWidth="1"/>
    <col min="4111" max="4111" width="12" style="2" bestFit="1" customWidth="1"/>
    <col min="4112" max="4113" width="9.140625" style="2"/>
    <col min="4114" max="4114" width="10.85546875" style="2" bestFit="1" customWidth="1"/>
    <col min="4115" max="4357" width="9.140625" style="2"/>
    <col min="4358" max="4358" width="44.5703125" style="2" customWidth="1"/>
    <col min="4359" max="4359" width="17.85546875" style="2" customWidth="1"/>
    <col min="4360" max="4361" width="15.140625" style="2" customWidth="1"/>
    <col min="4362" max="4362" width="13.85546875" style="2" customWidth="1"/>
    <col min="4363" max="4363" width="17.28515625" style="2" customWidth="1"/>
    <col min="4364" max="4364" width="22.5703125" style="2" customWidth="1"/>
    <col min="4365" max="4365" width="20.7109375" style="2" customWidth="1"/>
    <col min="4366" max="4366" width="10.85546875" style="2" customWidth="1"/>
    <col min="4367" max="4367" width="12" style="2" bestFit="1" customWidth="1"/>
    <col min="4368" max="4369" width="9.140625" style="2"/>
    <col min="4370" max="4370" width="10.85546875" style="2" bestFit="1" customWidth="1"/>
    <col min="4371" max="4613" width="9.140625" style="2"/>
    <col min="4614" max="4614" width="44.5703125" style="2" customWidth="1"/>
    <col min="4615" max="4615" width="17.85546875" style="2" customWidth="1"/>
    <col min="4616" max="4617" width="15.140625" style="2" customWidth="1"/>
    <col min="4618" max="4618" width="13.85546875" style="2" customWidth="1"/>
    <col min="4619" max="4619" width="17.28515625" style="2" customWidth="1"/>
    <col min="4620" max="4620" width="22.5703125" style="2" customWidth="1"/>
    <col min="4621" max="4621" width="20.7109375" style="2" customWidth="1"/>
    <col min="4622" max="4622" width="10.85546875" style="2" customWidth="1"/>
    <col min="4623" max="4623" width="12" style="2" bestFit="1" customWidth="1"/>
    <col min="4624" max="4625" width="9.140625" style="2"/>
    <col min="4626" max="4626" width="10.85546875" style="2" bestFit="1" customWidth="1"/>
    <col min="4627" max="4869" width="9.140625" style="2"/>
    <col min="4870" max="4870" width="44.5703125" style="2" customWidth="1"/>
    <col min="4871" max="4871" width="17.85546875" style="2" customWidth="1"/>
    <col min="4872" max="4873" width="15.140625" style="2" customWidth="1"/>
    <col min="4874" max="4874" width="13.85546875" style="2" customWidth="1"/>
    <col min="4875" max="4875" width="17.28515625" style="2" customWidth="1"/>
    <col min="4876" max="4876" width="22.5703125" style="2" customWidth="1"/>
    <col min="4877" max="4877" width="20.7109375" style="2" customWidth="1"/>
    <col min="4878" max="4878" width="10.85546875" style="2" customWidth="1"/>
    <col min="4879" max="4879" width="12" style="2" bestFit="1" customWidth="1"/>
    <col min="4880" max="4881" width="9.140625" style="2"/>
    <col min="4882" max="4882" width="10.85546875" style="2" bestFit="1" customWidth="1"/>
    <col min="4883" max="5125" width="9.140625" style="2"/>
    <col min="5126" max="5126" width="44.5703125" style="2" customWidth="1"/>
    <col min="5127" max="5127" width="17.85546875" style="2" customWidth="1"/>
    <col min="5128" max="5129" width="15.140625" style="2" customWidth="1"/>
    <col min="5130" max="5130" width="13.85546875" style="2" customWidth="1"/>
    <col min="5131" max="5131" width="17.28515625" style="2" customWidth="1"/>
    <col min="5132" max="5132" width="22.5703125" style="2" customWidth="1"/>
    <col min="5133" max="5133" width="20.7109375" style="2" customWidth="1"/>
    <col min="5134" max="5134" width="10.85546875" style="2" customWidth="1"/>
    <col min="5135" max="5135" width="12" style="2" bestFit="1" customWidth="1"/>
    <col min="5136" max="5137" width="9.140625" style="2"/>
    <col min="5138" max="5138" width="10.85546875" style="2" bestFit="1" customWidth="1"/>
    <col min="5139" max="5381" width="9.140625" style="2"/>
    <col min="5382" max="5382" width="44.5703125" style="2" customWidth="1"/>
    <col min="5383" max="5383" width="17.85546875" style="2" customWidth="1"/>
    <col min="5384" max="5385" width="15.140625" style="2" customWidth="1"/>
    <col min="5386" max="5386" width="13.85546875" style="2" customWidth="1"/>
    <col min="5387" max="5387" width="17.28515625" style="2" customWidth="1"/>
    <col min="5388" max="5388" width="22.5703125" style="2" customWidth="1"/>
    <col min="5389" max="5389" width="20.7109375" style="2" customWidth="1"/>
    <col min="5390" max="5390" width="10.85546875" style="2" customWidth="1"/>
    <col min="5391" max="5391" width="12" style="2" bestFit="1" customWidth="1"/>
    <col min="5392" max="5393" width="9.140625" style="2"/>
    <col min="5394" max="5394" width="10.85546875" style="2" bestFit="1" customWidth="1"/>
    <col min="5395" max="5637" width="9.140625" style="2"/>
    <col min="5638" max="5638" width="44.5703125" style="2" customWidth="1"/>
    <col min="5639" max="5639" width="17.85546875" style="2" customWidth="1"/>
    <col min="5640" max="5641" width="15.140625" style="2" customWidth="1"/>
    <col min="5642" max="5642" width="13.85546875" style="2" customWidth="1"/>
    <col min="5643" max="5643" width="17.28515625" style="2" customWidth="1"/>
    <col min="5644" max="5644" width="22.5703125" style="2" customWidth="1"/>
    <col min="5645" max="5645" width="20.7109375" style="2" customWidth="1"/>
    <col min="5646" max="5646" width="10.85546875" style="2" customWidth="1"/>
    <col min="5647" max="5647" width="12" style="2" bestFit="1" customWidth="1"/>
    <col min="5648" max="5649" width="9.140625" style="2"/>
    <col min="5650" max="5650" width="10.85546875" style="2" bestFit="1" customWidth="1"/>
    <col min="5651" max="5893" width="9.140625" style="2"/>
    <col min="5894" max="5894" width="44.5703125" style="2" customWidth="1"/>
    <col min="5895" max="5895" width="17.85546875" style="2" customWidth="1"/>
    <col min="5896" max="5897" width="15.140625" style="2" customWidth="1"/>
    <col min="5898" max="5898" width="13.85546875" style="2" customWidth="1"/>
    <col min="5899" max="5899" width="17.28515625" style="2" customWidth="1"/>
    <col min="5900" max="5900" width="22.5703125" style="2" customWidth="1"/>
    <col min="5901" max="5901" width="20.7109375" style="2" customWidth="1"/>
    <col min="5902" max="5902" width="10.85546875" style="2" customWidth="1"/>
    <col min="5903" max="5903" width="12" style="2" bestFit="1" customWidth="1"/>
    <col min="5904" max="5905" width="9.140625" style="2"/>
    <col min="5906" max="5906" width="10.85546875" style="2" bestFit="1" customWidth="1"/>
    <col min="5907" max="6149" width="9.140625" style="2"/>
    <col min="6150" max="6150" width="44.5703125" style="2" customWidth="1"/>
    <col min="6151" max="6151" width="17.85546875" style="2" customWidth="1"/>
    <col min="6152" max="6153" width="15.140625" style="2" customWidth="1"/>
    <col min="6154" max="6154" width="13.85546875" style="2" customWidth="1"/>
    <col min="6155" max="6155" width="17.28515625" style="2" customWidth="1"/>
    <col min="6156" max="6156" width="22.5703125" style="2" customWidth="1"/>
    <col min="6157" max="6157" width="20.7109375" style="2" customWidth="1"/>
    <col min="6158" max="6158" width="10.85546875" style="2" customWidth="1"/>
    <col min="6159" max="6159" width="12" style="2" bestFit="1" customWidth="1"/>
    <col min="6160" max="6161" width="9.140625" style="2"/>
    <col min="6162" max="6162" width="10.85546875" style="2" bestFit="1" customWidth="1"/>
    <col min="6163" max="6405" width="9.140625" style="2"/>
    <col min="6406" max="6406" width="44.5703125" style="2" customWidth="1"/>
    <col min="6407" max="6407" width="17.85546875" style="2" customWidth="1"/>
    <col min="6408" max="6409" width="15.140625" style="2" customWidth="1"/>
    <col min="6410" max="6410" width="13.85546875" style="2" customWidth="1"/>
    <col min="6411" max="6411" width="17.28515625" style="2" customWidth="1"/>
    <col min="6412" max="6412" width="22.5703125" style="2" customWidth="1"/>
    <col min="6413" max="6413" width="20.7109375" style="2" customWidth="1"/>
    <col min="6414" max="6414" width="10.85546875" style="2" customWidth="1"/>
    <col min="6415" max="6415" width="12" style="2" bestFit="1" customWidth="1"/>
    <col min="6416" max="6417" width="9.140625" style="2"/>
    <col min="6418" max="6418" width="10.85546875" style="2" bestFit="1" customWidth="1"/>
    <col min="6419" max="6661" width="9.140625" style="2"/>
    <col min="6662" max="6662" width="44.5703125" style="2" customWidth="1"/>
    <col min="6663" max="6663" width="17.85546875" style="2" customWidth="1"/>
    <col min="6664" max="6665" width="15.140625" style="2" customWidth="1"/>
    <col min="6666" max="6666" width="13.85546875" style="2" customWidth="1"/>
    <col min="6667" max="6667" width="17.28515625" style="2" customWidth="1"/>
    <col min="6668" max="6668" width="22.5703125" style="2" customWidth="1"/>
    <col min="6669" max="6669" width="20.7109375" style="2" customWidth="1"/>
    <col min="6670" max="6670" width="10.85546875" style="2" customWidth="1"/>
    <col min="6671" max="6671" width="12" style="2" bestFit="1" customWidth="1"/>
    <col min="6672" max="6673" width="9.140625" style="2"/>
    <col min="6674" max="6674" width="10.85546875" style="2" bestFit="1" customWidth="1"/>
    <col min="6675" max="6917" width="9.140625" style="2"/>
    <col min="6918" max="6918" width="44.5703125" style="2" customWidth="1"/>
    <col min="6919" max="6919" width="17.85546875" style="2" customWidth="1"/>
    <col min="6920" max="6921" width="15.140625" style="2" customWidth="1"/>
    <col min="6922" max="6922" width="13.85546875" style="2" customWidth="1"/>
    <col min="6923" max="6923" width="17.28515625" style="2" customWidth="1"/>
    <col min="6924" max="6924" width="22.5703125" style="2" customWidth="1"/>
    <col min="6925" max="6925" width="20.7109375" style="2" customWidth="1"/>
    <col min="6926" max="6926" width="10.85546875" style="2" customWidth="1"/>
    <col min="6927" max="6927" width="12" style="2" bestFit="1" customWidth="1"/>
    <col min="6928" max="6929" width="9.140625" style="2"/>
    <col min="6930" max="6930" width="10.85546875" style="2" bestFit="1" customWidth="1"/>
    <col min="6931" max="7173" width="9.140625" style="2"/>
    <col min="7174" max="7174" width="44.5703125" style="2" customWidth="1"/>
    <col min="7175" max="7175" width="17.85546875" style="2" customWidth="1"/>
    <col min="7176" max="7177" width="15.140625" style="2" customWidth="1"/>
    <col min="7178" max="7178" width="13.85546875" style="2" customWidth="1"/>
    <col min="7179" max="7179" width="17.28515625" style="2" customWidth="1"/>
    <col min="7180" max="7180" width="22.5703125" style="2" customWidth="1"/>
    <col min="7181" max="7181" width="20.7109375" style="2" customWidth="1"/>
    <col min="7182" max="7182" width="10.85546875" style="2" customWidth="1"/>
    <col min="7183" max="7183" width="12" style="2" bestFit="1" customWidth="1"/>
    <col min="7184" max="7185" width="9.140625" style="2"/>
    <col min="7186" max="7186" width="10.85546875" style="2" bestFit="1" customWidth="1"/>
    <col min="7187" max="7429" width="9.140625" style="2"/>
    <col min="7430" max="7430" width="44.5703125" style="2" customWidth="1"/>
    <col min="7431" max="7431" width="17.85546875" style="2" customWidth="1"/>
    <col min="7432" max="7433" width="15.140625" style="2" customWidth="1"/>
    <col min="7434" max="7434" width="13.85546875" style="2" customWidth="1"/>
    <col min="7435" max="7435" width="17.28515625" style="2" customWidth="1"/>
    <col min="7436" max="7436" width="22.5703125" style="2" customWidth="1"/>
    <col min="7437" max="7437" width="20.7109375" style="2" customWidth="1"/>
    <col min="7438" max="7438" width="10.85546875" style="2" customWidth="1"/>
    <col min="7439" max="7439" width="12" style="2" bestFit="1" customWidth="1"/>
    <col min="7440" max="7441" width="9.140625" style="2"/>
    <col min="7442" max="7442" width="10.85546875" style="2" bestFit="1" customWidth="1"/>
    <col min="7443" max="7685" width="9.140625" style="2"/>
    <col min="7686" max="7686" width="44.5703125" style="2" customWidth="1"/>
    <col min="7687" max="7687" width="17.85546875" style="2" customWidth="1"/>
    <col min="7688" max="7689" width="15.140625" style="2" customWidth="1"/>
    <col min="7690" max="7690" width="13.85546875" style="2" customWidth="1"/>
    <col min="7691" max="7691" width="17.28515625" style="2" customWidth="1"/>
    <col min="7692" max="7692" width="22.5703125" style="2" customWidth="1"/>
    <col min="7693" max="7693" width="20.7109375" style="2" customWidth="1"/>
    <col min="7694" max="7694" width="10.85546875" style="2" customWidth="1"/>
    <col min="7695" max="7695" width="12" style="2" bestFit="1" customWidth="1"/>
    <col min="7696" max="7697" width="9.140625" style="2"/>
    <col min="7698" max="7698" width="10.85546875" style="2" bestFit="1" customWidth="1"/>
    <col min="7699" max="7941" width="9.140625" style="2"/>
    <col min="7942" max="7942" width="44.5703125" style="2" customWidth="1"/>
    <col min="7943" max="7943" width="17.85546875" style="2" customWidth="1"/>
    <col min="7944" max="7945" width="15.140625" style="2" customWidth="1"/>
    <col min="7946" max="7946" width="13.85546875" style="2" customWidth="1"/>
    <col min="7947" max="7947" width="17.28515625" style="2" customWidth="1"/>
    <col min="7948" max="7948" width="22.5703125" style="2" customWidth="1"/>
    <col min="7949" max="7949" width="20.7109375" style="2" customWidth="1"/>
    <col min="7950" max="7950" width="10.85546875" style="2" customWidth="1"/>
    <col min="7951" max="7951" width="12" style="2" bestFit="1" customWidth="1"/>
    <col min="7952" max="7953" width="9.140625" style="2"/>
    <col min="7954" max="7954" width="10.85546875" style="2" bestFit="1" customWidth="1"/>
    <col min="7955" max="8197" width="9.140625" style="2"/>
    <col min="8198" max="8198" width="44.5703125" style="2" customWidth="1"/>
    <col min="8199" max="8199" width="17.85546875" style="2" customWidth="1"/>
    <col min="8200" max="8201" width="15.140625" style="2" customWidth="1"/>
    <col min="8202" max="8202" width="13.85546875" style="2" customWidth="1"/>
    <col min="8203" max="8203" width="17.28515625" style="2" customWidth="1"/>
    <col min="8204" max="8204" width="22.5703125" style="2" customWidth="1"/>
    <col min="8205" max="8205" width="20.7109375" style="2" customWidth="1"/>
    <col min="8206" max="8206" width="10.85546875" style="2" customWidth="1"/>
    <col min="8207" max="8207" width="12" style="2" bestFit="1" customWidth="1"/>
    <col min="8208" max="8209" width="9.140625" style="2"/>
    <col min="8210" max="8210" width="10.85546875" style="2" bestFit="1" customWidth="1"/>
    <col min="8211" max="8453" width="9.140625" style="2"/>
    <col min="8454" max="8454" width="44.5703125" style="2" customWidth="1"/>
    <col min="8455" max="8455" width="17.85546875" style="2" customWidth="1"/>
    <col min="8456" max="8457" width="15.140625" style="2" customWidth="1"/>
    <col min="8458" max="8458" width="13.85546875" style="2" customWidth="1"/>
    <col min="8459" max="8459" width="17.28515625" style="2" customWidth="1"/>
    <col min="8460" max="8460" width="22.5703125" style="2" customWidth="1"/>
    <col min="8461" max="8461" width="20.7109375" style="2" customWidth="1"/>
    <col min="8462" max="8462" width="10.85546875" style="2" customWidth="1"/>
    <col min="8463" max="8463" width="12" style="2" bestFit="1" customWidth="1"/>
    <col min="8464" max="8465" width="9.140625" style="2"/>
    <col min="8466" max="8466" width="10.85546875" style="2" bestFit="1" customWidth="1"/>
    <col min="8467" max="8709" width="9.140625" style="2"/>
    <col min="8710" max="8710" width="44.5703125" style="2" customWidth="1"/>
    <col min="8711" max="8711" width="17.85546875" style="2" customWidth="1"/>
    <col min="8712" max="8713" width="15.140625" style="2" customWidth="1"/>
    <col min="8714" max="8714" width="13.85546875" style="2" customWidth="1"/>
    <col min="8715" max="8715" width="17.28515625" style="2" customWidth="1"/>
    <col min="8716" max="8716" width="22.5703125" style="2" customWidth="1"/>
    <col min="8717" max="8717" width="20.7109375" style="2" customWidth="1"/>
    <col min="8718" max="8718" width="10.85546875" style="2" customWidth="1"/>
    <col min="8719" max="8719" width="12" style="2" bestFit="1" customWidth="1"/>
    <col min="8720" max="8721" width="9.140625" style="2"/>
    <col min="8722" max="8722" width="10.85546875" style="2" bestFit="1" customWidth="1"/>
    <col min="8723" max="8965" width="9.140625" style="2"/>
    <col min="8966" max="8966" width="44.5703125" style="2" customWidth="1"/>
    <col min="8967" max="8967" width="17.85546875" style="2" customWidth="1"/>
    <col min="8968" max="8969" width="15.140625" style="2" customWidth="1"/>
    <col min="8970" max="8970" width="13.85546875" style="2" customWidth="1"/>
    <col min="8971" max="8971" width="17.28515625" style="2" customWidth="1"/>
    <col min="8972" max="8972" width="22.5703125" style="2" customWidth="1"/>
    <col min="8973" max="8973" width="20.7109375" style="2" customWidth="1"/>
    <col min="8974" max="8974" width="10.85546875" style="2" customWidth="1"/>
    <col min="8975" max="8975" width="12" style="2" bestFit="1" customWidth="1"/>
    <col min="8976" max="8977" width="9.140625" style="2"/>
    <col min="8978" max="8978" width="10.85546875" style="2" bestFit="1" customWidth="1"/>
    <col min="8979" max="9221" width="9.140625" style="2"/>
    <col min="9222" max="9222" width="44.5703125" style="2" customWidth="1"/>
    <col min="9223" max="9223" width="17.85546875" style="2" customWidth="1"/>
    <col min="9224" max="9225" width="15.140625" style="2" customWidth="1"/>
    <col min="9226" max="9226" width="13.85546875" style="2" customWidth="1"/>
    <col min="9227" max="9227" width="17.28515625" style="2" customWidth="1"/>
    <col min="9228" max="9228" width="22.5703125" style="2" customWidth="1"/>
    <col min="9229" max="9229" width="20.7109375" style="2" customWidth="1"/>
    <col min="9230" max="9230" width="10.85546875" style="2" customWidth="1"/>
    <col min="9231" max="9231" width="12" style="2" bestFit="1" customWidth="1"/>
    <col min="9232" max="9233" width="9.140625" style="2"/>
    <col min="9234" max="9234" width="10.85546875" style="2" bestFit="1" customWidth="1"/>
    <col min="9235" max="9477" width="9.140625" style="2"/>
    <col min="9478" max="9478" width="44.5703125" style="2" customWidth="1"/>
    <col min="9479" max="9479" width="17.85546875" style="2" customWidth="1"/>
    <col min="9480" max="9481" width="15.140625" style="2" customWidth="1"/>
    <col min="9482" max="9482" width="13.85546875" style="2" customWidth="1"/>
    <col min="9483" max="9483" width="17.28515625" style="2" customWidth="1"/>
    <col min="9484" max="9484" width="22.5703125" style="2" customWidth="1"/>
    <col min="9485" max="9485" width="20.7109375" style="2" customWidth="1"/>
    <col min="9486" max="9486" width="10.85546875" style="2" customWidth="1"/>
    <col min="9487" max="9487" width="12" style="2" bestFit="1" customWidth="1"/>
    <col min="9488" max="9489" width="9.140625" style="2"/>
    <col min="9490" max="9490" width="10.85546875" style="2" bestFit="1" customWidth="1"/>
    <col min="9491" max="9733" width="9.140625" style="2"/>
    <col min="9734" max="9734" width="44.5703125" style="2" customWidth="1"/>
    <col min="9735" max="9735" width="17.85546875" style="2" customWidth="1"/>
    <col min="9736" max="9737" width="15.140625" style="2" customWidth="1"/>
    <col min="9738" max="9738" width="13.85546875" style="2" customWidth="1"/>
    <col min="9739" max="9739" width="17.28515625" style="2" customWidth="1"/>
    <col min="9740" max="9740" width="22.5703125" style="2" customWidth="1"/>
    <col min="9741" max="9741" width="20.7109375" style="2" customWidth="1"/>
    <col min="9742" max="9742" width="10.85546875" style="2" customWidth="1"/>
    <col min="9743" max="9743" width="12" style="2" bestFit="1" customWidth="1"/>
    <col min="9744" max="9745" width="9.140625" style="2"/>
    <col min="9746" max="9746" width="10.85546875" style="2" bestFit="1" customWidth="1"/>
    <col min="9747" max="9989" width="9.140625" style="2"/>
    <col min="9990" max="9990" width="44.5703125" style="2" customWidth="1"/>
    <col min="9991" max="9991" width="17.85546875" style="2" customWidth="1"/>
    <col min="9992" max="9993" width="15.140625" style="2" customWidth="1"/>
    <col min="9994" max="9994" width="13.85546875" style="2" customWidth="1"/>
    <col min="9995" max="9995" width="17.28515625" style="2" customWidth="1"/>
    <col min="9996" max="9996" width="22.5703125" style="2" customWidth="1"/>
    <col min="9997" max="9997" width="20.7109375" style="2" customWidth="1"/>
    <col min="9998" max="9998" width="10.85546875" style="2" customWidth="1"/>
    <col min="9999" max="9999" width="12" style="2" bestFit="1" customWidth="1"/>
    <col min="10000" max="10001" width="9.140625" style="2"/>
    <col min="10002" max="10002" width="10.85546875" style="2" bestFit="1" customWidth="1"/>
    <col min="10003" max="10245" width="9.140625" style="2"/>
    <col min="10246" max="10246" width="44.5703125" style="2" customWidth="1"/>
    <col min="10247" max="10247" width="17.85546875" style="2" customWidth="1"/>
    <col min="10248" max="10249" width="15.140625" style="2" customWidth="1"/>
    <col min="10250" max="10250" width="13.85546875" style="2" customWidth="1"/>
    <col min="10251" max="10251" width="17.28515625" style="2" customWidth="1"/>
    <col min="10252" max="10252" width="22.5703125" style="2" customWidth="1"/>
    <col min="10253" max="10253" width="20.7109375" style="2" customWidth="1"/>
    <col min="10254" max="10254" width="10.85546875" style="2" customWidth="1"/>
    <col min="10255" max="10255" width="12" style="2" bestFit="1" customWidth="1"/>
    <col min="10256" max="10257" width="9.140625" style="2"/>
    <col min="10258" max="10258" width="10.85546875" style="2" bestFit="1" customWidth="1"/>
    <col min="10259" max="10501" width="9.140625" style="2"/>
    <col min="10502" max="10502" width="44.5703125" style="2" customWidth="1"/>
    <col min="10503" max="10503" width="17.85546875" style="2" customWidth="1"/>
    <col min="10504" max="10505" width="15.140625" style="2" customWidth="1"/>
    <col min="10506" max="10506" width="13.85546875" style="2" customWidth="1"/>
    <col min="10507" max="10507" width="17.28515625" style="2" customWidth="1"/>
    <col min="10508" max="10508" width="22.5703125" style="2" customWidth="1"/>
    <col min="10509" max="10509" width="20.7109375" style="2" customWidth="1"/>
    <col min="10510" max="10510" width="10.85546875" style="2" customWidth="1"/>
    <col min="10511" max="10511" width="12" style="2" bestFit="1" customWidth="1"/>
    <col min="10512" max="10513" width="9.140625" style="2"/>
    <col min="10514" max="10514" width="10.85546875" style="2" bestFit="1" customWidth="1"/>
    <col min="10515" max="10757" width="9.140625" style="2"/>
    <col min="10758" max="10758" width="44.5703125" style="2" customWidth="1"/>
    <col min="10759" max="10759" width="17.85546875" style="2" customWidth="1"/>
    <col min="10760" max="10761" width="15.140625" style="2" customWidth="1"/>
    <col min="10762" max="10762" width="13.85546875" style="2" customWidth="1"/>
    <col min="10763" max="10763" width="17.28515625" style="2" customWidth="1"/>
    <col min="10764" max="10764" width="22.5703125" style="2" customWidth="1"/>
    <col min="10765" max="10765" width="20.7109375" style="2" customWidth="1"/>
    <col min="10766" max="10766" width="10.85546875" style="2" customWidth="1"/>
    <col min="10767" max="10767" width="12" style="2" bestFit="1" customWidth="1"/>
    <col min="10768" max="10769" width="9.140625" style="2"/>
    <col min="10770" max="10770" width="10.85546875" style="2" bestFit="1" customWidth="1"/>
    <col min="10771" max="11013" width="9.140625" style="2"/>
    <col min="11014" max="11014" width="44.5703125" style="2" customWidth="1"/>
    <col min="11015" max="11015" width="17.85546875" style="2" customWidth="1"/>
    <col min="11016" max="11017" width="15.140625" style="2" customWidth="1"/>
    <col min="11018" max="11018" width="13.85546875" style="2" customWidth="1"/>
    <col min="11019" max="11019" width="17.28515625" style="2" customWidth="1"/>
    <col min="11020" max="11020" width="22.5703125" style="2" customWidth="1"/>
    <col min="11021" max="11021" width="20.7109375" style="2" customWidth="1"/>
    <col min="11022" max="11022" width="10.85546875" style="2" customWidth="1"/>
    <col min="11023" max="11023" width="12" style="2" bestFit="1" customWidth="1"/>
    <col min="11024" max="11025" width="9.140625" style="2"/>
    <col min="11026" max="11026" width="10.85546875" style="2" bestFit="1" customWidth="1"/>
    <col min="11027" max="11269" width="9.140625" style="2"/>
    <col min="11270" max="11270" width="44.5703125" style="2" customWidth="1"/>
    <col min="11271" max="11271" width="17.85546875" style="2" customWidth="1"/>
    <col min="11272" max="11273" width="15.140625" style="2" customWidth="1"/>
    <col min="11274" max="11274" width="13.85546875" style="2" customWidth="1"/>
    <col min="11275" max="11275" width="17.28515625" style="2" customWidth="1"/>
    <col min="11276" max="11276" width="22.5703125" style="2" customWidth="1"/>
    <col min="11277" max="11277" width="20.7109375" style="2" customWidth="1"/>
    <col min="11278" max="11278" width="10.85546875" style="2" customWidth="1"/>
    <col min="11279" max="11279" width="12" style="2" bestFit="1" customWidth="1"/>
    <col min="11280" max="11281" width="9.140625" style="2"/>
    <col min="11282" max="11282" width="10.85546875" style="2" bestFit="1" customWidth="1"/>
    <col min="11283" max="11525" width="9.140625" style="2"/>
    <col min="11526" max="11526" width="44.5703125" style="2" customWidth="1"/>
    <col min="11527" max="11527" width="17.85546875" style="2" customWidth="1"/>
    <col min="11528" max="11529" width="15.140625" style="2" customWidth="1"/>
    <col min="11530" max="11530" width="13.85546875" style="2" customWidth="1"/>
    <col min="11531" max="11531" width="17.28515625" style="2" customWidth="1"/>
    <col min="11532" max="11532" width="22.5703125" style="2" customWidth="1"/>
    <col min="11533" max="11533" width="20.7109375" style="2" customWidth="1"/>
    <col min="11534" max="11534" width="10.85546875" style="2" customWidth="1"/>
    <col min="11535" max="11535" width="12" style="2" bestFit="1" customWidth="1"/>
    <col min="11536" max="11537" width="9.140625" style="2"/>
    <col min="11538" max="11538" width="10.85546875" style="2" bestFit="1" customWidth="1"/>
    <col min="11539" max="11781" width="9.140625" style="2"/>
    <col min="11782" max="11782" width="44.5703125" style="2" customWidth="1"/>
    <col min="11783" max="11783" width="17.85546875" style="2" customWidth="1"/>
    <col min="11784" max="11785" width="15.140625" style="2" customWidth="1"/>
    <col min="11786" max="11786" width="13.85546875" style="2" customWidth="1"/>
    <col min="11787" max="11787" width="17.28515625" style="2" customWidth="1"/>
    <col min="11788" max="11788" width="22.5703125" style="2" customWidth="1"/>
    <col min="11789" max="11789" width="20.7109375" style="2" customWidth="1"/>
    <col min="11790" max="11790" width="10.85546875" style="2" customWidth="1"/>
    <col min="11791" max="11791" width="12" style="2" bestFit="1" customWidth="1"/>
    <col min="11792" max="11793" width="9.140625" style="2"/>
    <col min="11794" max="11794" width="10.85546875" style="2" bestFit="1" customWidth="1"/>
    <col min="11795" max="12037" width="9.140625" style="2"/>
    <col min="12038" max="12038" width="44.5703125" style="2" customWidth="1"/>
    <col min="12039" max="12039" width="17.85546875" style="2" customWidth="1"/>
    <col min="12040" max="12041" width="15.140625" style="2" customWidth="1"/>
    <col min="12042" max="12042" width="13.85546875" style="2" customWidth="1"/>
    <col min="12043" max="12043" width="17.28515625" style="2" customWidth="1"/>
    <col min="12044" max="12044" width="22.5703125" style="2" customWidth="1"/>
    <col min="12045" max="12045" width="20.7109375" style="2" customWidth="1"/>
    <col min="12046" max="12046" width="10.85546875" style="2" customWidth="1"/>
    <col min="12047" max="12047" width="12" style="2" bestFit="1" customWidth="1"/>
    <col min="12048" max="12049" width="9.140625" style="2"/>
    <col min="12050" max="12050" width="10.85546875" style="2" bestFit="1" customWidth="1"/>
    <col min="12051" max="12293" width="9.140625" style="2"/>
    <col min="12294" max="12294" width="44.5703125" style="2" customWidth="1"/>
    <col min="12295" max="12295" width="17.85546875" style="2" customWidth="1"/>
    <col min="12296" max="12297" width="15.140625" style="2" customWidth="1"/>
    <col min="12298" max="12298" width="13.85546875" style="2" customWidth="1"/>
    <col min="12299" max="12299" width="17.28515625" style="2" customWidth="1"/>
    <col min="12300" max="12300" width="22.5703125" style="2" customWidth="1"/>
    <col min="12301" max="12301" width="20.7109375" style="2" customWidth="1"/>
    <col min="12302" max="12302" width="10.85546875" style="2" customWidth="1"/>
    <col min="12303" max="12303" width="12" style="2" bestFit="1" customWidth="1"/>
    <col min="12304" max="12305" width="9.140625" style="2"/>
    <col min="12306" max="12306" width="10.85546875" style="2" bestFit="1" customWidth="1"/>
    <col min="12307" max="12549" width="9.140625" style="2"/>
    <col min="12550" max="12550" width="44.5703125" style="2" customWidth="1"/>
    <col min="12551" max="12551" width="17.85546875" style="2" customWidth="1"/>
    <col min="12552" max="12553" width="15.140625" style="2" customWidth="1"/>
    <col min="12554" max="12554" width="13.85546875" style="2" customWidth="1"/>
    <col min="12555" max="12555" width="17.28515625" style="2" customWidth="1"/>
    <col min="12556" max="12556" width="22.5703125" style="2" customWidth="1"/>
    <col min="12557" max="12557" width="20.7109375" style="2" customWidth="1"/>
    <col min="12558" max="12558" width="10.85546875" style="2" customWidth="1"/>
    <col min="12559" max="12559" width="12" style="2" bestFit="1" customWidth="1"/>
    <col min="12560" max="12561" width="9.140625" style="2"/>
    <col min="12562" max="12562" width="10.85546875" style="2" bestFit="1" customWidth="1"/>
    <col min="12563" max="12805" width="9.140625" style="2"/>
    <col min="12806" max="12806" width="44.5703125" style="2" customWidth="1"/>
    <col min="12807" max="12807" width="17.85546875" style="2" customWidth="1"/>
    <col min="12808" max="12809" width="15.140625" style="2" customWidth="1"/>
    <col min="12810" max="12810" width="13.85546875" style="2" customWidth="1"/>
    <col min="12811" max="12811" width="17.28515625" style="2" customWidth="1"/>
    <col min="12812" max="12812" width="22.5703125" style="2" customWidth="1"/>
    <col min="12813" max="12813" width="20.7109375" style="2" customWidth="1"/>
    <col min="12814" max="12814" width="10.85546875" style="2" customWidth="1"/>
    <col min="12815" max="12815" width="12" style="2" bestFit="1" customWidth="1"/>
    <col min="12816" max="12817" width="9.140625" style="2"/>
    <col min="12818" max="12818" width="10.85546875" style="2" bestFit="1" customWidth="1"/>
    <col min="12819" max="13061" width="9.140625" style="2"/>
    <col min="13062" max="13062" width="44.5703125" style="2" customWidth="1"/>
    <col min="13063" max="13063" width="17.85546875" style="2" customWidth="1"/>
    <col min="13064" max="13065" width="15.140625" style="2" customWidth="1"/>
    <col min="13066" max="13066" width="13.85546875" style="2" customWidth="1"/>
    <col min="13067" max="13067" width="17.28515625" style="2" customWidth="1"/>
    <col min="13068" max="13068" width="22.5703125" style="2" customWidth="1"/>
    <col min="13069" max="13069" width="20.7109375" style="2" customWidth="1"/>
    <col min="13070" max="13070" width="10.85546875" style="2" customWidth="1"/>
    <col min="13071" max="13071" width="12" style="2" bestFit="1" customWidth="1"/>
    <col min="13072" max="13073" width="9.140625" style="2"/>
    <col min="13074" max="13074" width="10.85546875" style="2" bestFit="1" customWidth="1"/>
    <col min="13075" max="13317" width="9.140625" style="2"/>
    <col min="13318" max="13318" width="44.5703125" style="2" customWidth="1"/>
    <col min="13319" max="13319" width="17.85546875" style="2" customWidth="1"/>
    <col min="13320" max="13321" width="15.140625" style="2" customWidth="1"/>
    <col min="13322" max="13322" width="13.85546875" style="2" customWidth="1"/>
    <col min="13323" max="13323" width="17.28515625" style="2" customWidth="1"/>
    <col min="13324" max="13324" width="22.5703125" style="2" customWidth="1"/>
    <col min="13325" max="13325" width="20.7109375" style="2" customWidth="1"/>
    <col min="13326" max="13326" width="10.85546875" style="2" customWidth="1"/>
    <col min="13327" max="13327" width="12" style="2" bestFit="1" customWidth="1"/>
    <col min="13328" max="13329" width="9.140625" style="2"/>
    <col min="13330" max="13330" width="10.85546875" style="2" bestFit="1" customWidth="1"/>
    <col min="13331" max="13573" width="9.140625" style="2"/>
    <col min="13574" max="13574" width="44.5703125" style="2" customWidth="1"/>
    <col min="13575" max="13575" width="17.85546875" style="2" customWidth="1"/>
    <col min="13576" max="13577" width="15.140625" style="2" customWidth="1"/>
    <col min="13578" max="13578" width="13.85546875" style="2" customWidth="1"/>
    <col min="13579" max="13579" width="17.28515625" style="2" customWidth="1"/>
    <col min="13580" max="13580" width="22.5703125" style="2" customWidth="1"/>
    <col min="13581" max="13581" width="20.7109375" style="2" customWidth="1"/>
    <col min="13582" max="13582" width="10.85546875" style="2" customWidth="1"/>
    <col min="13583" max="13583" width="12" style="2" bestFit="1" customWidth="1"/>
    <col min="13584" max="13585" width="9.140625" style="2"/>
    <col min="13586" max="13586" width="10.85546875" style="2" bestFit="1" customWidth="1"/>
    <col min="13587" max="13829" width="9.140625" style="2"/>
    <col min="13830" max="13830" width="44.5703125" style="2" customWidth="1"/>
    <col min="13831" max="13831" width="17.85546875" style="2" customWidth="1"/>
    <col min="13832" max="13833" width="15.140625" style="2" customWidth="1"/>
    <col min="13834" max="13834" width="13.85546875" style="2" customWidth="1"/>
    <col min="13835" max="13835" width="17.28515625" style="2" customWidth="1"/>
    <col min="13836" max="13836" width="22.5703125" style="2" customWidth="1"/>
    <col min="13837" max="13837" width="20.7109375" style="2" customWidth="1"/>
    <col min="13838" max="13838" width="10.85546875" style="2" customWidth="1"/>
    <col min="13839" max="13839" width="12" style="2" bestFit="1" customWidth="1"/>
    <col min="13840" max="13841" width="9.140625" style="2"/>
    <col min="13842" max="13842" width="10.85546875" style="2" bestFit="1" customWidth="1"/>
    <col min="13843" max="14085" width="9.140625" style="2"/>
    <col min="14086" max="14086" width="44.5703125" style="2" customWidth="1"/>
    <col min="14087" max="14087" width="17.85546875" style="2" customWidth="1"/>
    <col min="14088" max="14089" width="15.140625" style="2" customWidth="1"/>
    <col min="14090" max="14090" width="13.85546875" style="2" customWidth="1"/>
    <col min="14091" max="14091" width="17.28515625" style="2" customWidth="1"/>
    <col min="14092" max="14092" width="22.5703125" style="2" customWidth="1"/>
    <col min="14093" max="14093" width="20.7109375" style="2" customWidth="1"/>
    <col min="14094" max="14094" width="10.85546875" style="2" customWidth="1"/>
    <col min="14095" max="14095" width="12" style="2" bestFit="1" customWidth="1"/>
    <col min="14096" max="14097" width="9.140625" style="2"/>
    <col min="14098" max="14098" width="10.85546875" style="2" bestFit="1" customWidth="1"/>
    <col min="14099" max="14341" width="9.140625" style="2"/>
    <col min="14342" max="14342" width="44.5703125" style="2" customWidth="1"/>
    <col min="14343" max="14343" width="17.85546875" style="2" customWidth="1"/>
    <col min="14344" max="14345" width="15.140625" style="2" customWidth="1"/>
    <col min="14346" max="14346" width="13.85546875" style="2" customWidth="1"/>
    <col min="14347" max="14347" width="17.28515625" style="2" customWidth="1"/>
    <col min="14348" max="14348" width="22.5703125" style="2" customWidth="1"/>
    <col min="14349" max="14349" width="20.7109375" style="2" customWidth="1"/>
    <col min="14350" max="14350" width="10.85546875" style="2" customWidth="1"/>
    <col min="14351" max="14351" width="12" style="2" bestFit="1" customWidth="1"/>
    <col min="14352" max="14353" width="9.140625" style="2"/>
    <col min="14354" max="14354" width="10.85546875" style="2" bestFit="1" customWidth="1"/>
    <col min="14355" max="14597" width="9.140625" style="2"/>
    <col min="14598" max="14598" width="44.5703125" style="2" customWidth="1"/>
    <col min="14599" max="14599" width="17.85546875" style="2" customWidth="1"/>
    <col min="14600" max="14601" width="15.140625" style="2" customWidth="1"/>
    <col min="14602" max="14602" width="13.85546875" style="2" customWidth="1"/>
    <col min="14603" max="14603" width="17.28515625" style="2" customWidth="1"/>
    <col min="14604" max="14604" width="22.5703125" style="2" customWidth="1"/>
    <col min="14605" max="14605" width="20.7109375" style="2" customWidth="1"/>
    <col min="14606" max="14606" width="10.85546875" style="2" customWidth="1"/>
    <col min="14607" max="14607" width="12" style="2" bestFit="1" customWidth="1"/>
    <col min="14608" max="14609" width="9.140625" style="2"/>
    <col min="14610" max="14610" width="10.85546875" style="2" bestFit="1" customWidth="1"/>
    <col min="14611" max="14853" width="9.140625" style="2"/>
    <col min="14854" max="14854" width="44.5703125" style="2" customWidth="1"/>
    <col min="14855" max="14855" width="17.85546875" style="2" customWidth="1"/>
    <col min="14856" max="14857" width="15.140625" style="2" customWidth="1"/>
    <col min="14858" max="14858" width="13.85546875" style="2" customWidth="1"/>
    <col min="14859" max="14859" width="17.28515625" style="2" customWidth="1"/>
    <col min="14860" max="14860" width="22.5703125" style="2" customWidth="1"/>
    <col min="14861" max="14861" width="20.7109375" style="2" customWidth="1"/>
    <col min="14862" max="14862" width="10.85546875" style="2" customWidth="1"/>
    <col min="14863" max="14863" width="12" style="2" bestFit="1" customWidth="1"/>
    <col min="14864" max="14865" width="9.140625" style="2"/>
    <col min="14866" max="14866" width="10.85546875" style="2" bestFit="1" customWidth="1"/>
    <col min="14867" max="15109" width="9.140625" style="2"/>
    <col min="15110" max="15110" width="44.5703125" style="2" customWidth="1"/>
    <col min="15111" max="15111" width="17.85546875" style="2" customWidth="1"/>
    <col min="15112" max="15113" width="15.140625" style="2" customWidth="1"/>
    <col min="15114" max="15114" width="13.85546875" style="2" customWidth="1"/>
    <col min="15115" max="15115" width="17.28515625" style="2" customWidth="1"/>
    <col min="15116" max="15116" width="22.5703125" style="2" customWidth="1"/>
    <col min="15117" max="15117" width="20.7109375" style="2" customWidth="1"/>
    <col min="15118" max="15118" width="10.85546875" style="2" customWidth="1"/>
    <col min="15119" max="15119" width="12" style="2" bestFit="1" customWidth="1"/>
    <col min="15120" max="15121" width="9.140625" style="2"/>
    <col min="15122" max="15122" width="10.85546875" style="2" bestFit="1" customWidth="1"/>
    <col min="15123" max="15365" width="9.140625" style="2"/>
    <col min="15366" max="15366" width="44.5703125" style="2" customWidth="1"/>
    <col min="15367" max="15367" width="17.85546875" style="2" customWidth="1"/>
    <col min="15368" max="15369" width="15.140625" style="2" customWidth="1"/>
    <col min="15370" max="15370" width="13.85546875" style="2" customWidth="1"/>
    <col min="15371" max="15371" width="17.28515625" style="2" customWidth="1"/>
    <col min="15372" max="15372" width="22.5703125" style="2" customWidth="1"/>
    <col min="15373" max="15373" width="20.7109375" style="2" customWidth="1"/>
    <col min="15374" max="15374" width="10.85546875" style="2" customWidth="1"/>
    <col min="15375" max="15375" width="12" style="2" bestFit="1" customWidth="1"/>
    <col min="15376" max="15377" width="9.140625" style="2"/>
    <col min="15378" max="15378" width="10.85546875" style="2" bestFit="1" customWidth="1"/>
    <col min="15379" max="15621" width="9.140625" style="2"/>
    <col min="15622" max="15622" width="44.5703125" style="2" customWidth="1"/>
    <col min="15623" max="15623" width="17.85546875" style="2" customWidth="1"/>
    <col min="15624" max="15625" width="15.140625" style="2" customWidth="1"/>
    <col min="15626" max="15626" width="13.85546875" style="2" customWidth="1"/>
    <col min="15627" max="15627" width="17.28515625" style="2" customWidth="1"/>
    <col min="15628" max="15628" width="22.5703125" style="2" customWidth="1"/>
    <col min="15629" max="15629" width="20.7109375" style="2" customWidth="1"/>
    <col min="15630" max="15630" width="10.85546875" style="2" customWidth="1"/>
    <col min="15631" max="15631" width="12" style="2" bestFit="1" customWidth="1"/>
    <col min="15632" max="15633" width="9.140625" style="2"/>
    <col min="15634" max="15634" width="10.85546875" style="2" bestFit="1" customWidth="1"/>
    <col min="15635" max="15877" width="9.140625" style="2"/>
    <col min="15878" max="15878" width="44.5703125" style="2" customWidth="1"/>
    <col min="15879" max="15879" width="17.85546875" style="2" customWidth="1"/>
    <col min="15880" max="15881" width="15.140625" style="2" customWidth="1"/>
    <col min="15882" max="15882" width="13.85546875" style="2" customWidth="1"/>
    <col min="15883" max="15883" width="17.28515625" style="2" customWidth="1"/>
    <col min="15884" max="15884" width="22.5703125" style="2" customWidth="1"/>
    <col min="15885" max="15885" width="20.7109375" style="2" customWidth="1"/>
    <col min="15886" max="15886" width="10.85546875" style="2" customWidth="1"/>
    <col min="15887" max="15887" width="12" style="2" bestFit="1" customWidth="1"/>
    <col min="15888" max="15889" width="9.140625" style="2"/>
    <col min="15890" max="15890" width="10.85546875" style="2" bestFit="1" customWidth="1"/>
    <col min="15891" max="16133" width="9.140625" style="2"/>
    <col min="16134" max="16134" width="44.5703125" style="2" customWidth="1"/>
    <col min="16135" max="16135" width="17.85546875" style="2" customWidth="1"/>
    <col min="16136" max="16137" width="15.140625" style="2" customWidth="1"/>
    <col min="16138" max="16138" width="13.85546875" style="2" customWidth="1"/>
    <col min="16139" max="16139" width="17.28515625" style="2" customWidth="1"/>
    <col min="16140" max="16140" width="22.5703125" style="2" customWidth="1"/>
    <col min="16141" max="16141" width="20.7109375" style="2" customWidth="1"/>
    <col min="16142" max="16142" width="10.85546875" style="2" customWidth="1"/>
    <col min="16143" max="16143" width="12" style="2" bestFit="1" customWidth="1"/>
    <col min="16144" max="16145" width="9.140625" style="2"/>
    <col min="16146" max="16146" width="10.85546875" style="2" bestFit="1" customWidth="1"/>
    <col min="16147" max="16384" width="9.140625" style="2"/>
  </cols>
  <sheetData>
    <row r="1" spans="1:19" s="56" customFormat="1"/>
    <row r="2" spans="1:19" s="56" customFormat="1" ht="15.75">
      <c r="L2" s="55" t="s">
        <v>351</v>
      </c>
    </row>
    <row r="3" spans="1:19" s="56" customFormat="1"/>
    <row r="4" spans="1:19" ht="60" customHeight="1">
      <c r="A4" s="1"/>
      <c r="B4" s="41"/>
      <c r="C4" s="1"/>
      <c r="D4" s="1"/>
      <c r="E4" s="41"/>
      <c r="F4" s="41"/>
      <c r="G4" s="1"/>
      <c r="H4" s="41"/>
      <c r="I4" s="1"/>
      <c r="J4" s="41"/>
      <c r="K4" s="1"/>
    </row>
    <row r="5" spans="1:19" ht="25.5" customHeight="1">
      <c r="A5" s="121" t="s">
        <v>33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9" ht="27.75" customHeight="1" thickBot="1">
      <c r="A6" s="122" t="s">
        <v>374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3"/>
      <c r="M6" s="3"/>
      <c r="N6" s="3"/>
      <c r="O6" s="3"/>
    </row>
    <row r="7" spans="1:19" ht="12.75" customHeight="1" thickBot="1">
      <c r="A7" s="118" t="s">
        <v>373</v>
      </c>
      <c r="B7" s="114" t="s">
        <v>367</v>
      </c>
      <c r="C7" s="115"/>
      <c r="D7" s="127" t="s">
        <v>370</v>
      </c>
      <c r="E7" s="128"/>
      <c r="F7" s="128"/>
      <c r="G7" s="129"/>
      <c r="H7" s="99"/>
      <c r="I7" s="99"/>
      <c r="J7" s="99"/>
      <c r="K7" s="100"/>
      <c r="M7" s="3"/>
    </row>
    <row r="8" spans="1:19" ht="12.75" customHeight="1" thickBot="1">
      <c r="A8" s="119"/>
      <c r="B8" s="116"/>
      <c r="C8" s="117"/>
      <c r="D8" s="123" t="s">
        <v>368</v>
      </c>
      <c r="E8" s="124"/>
      <c r="F8" s="123" t="s">
        <v>369</v>
      </c>
      <c r="G8" s="124"/>
      <c r="H8" s="125" t="s">
        <v>0</v>
      </c>
      <c r="I8" s="126"/>
      <c r="J8" s="112" t="s">
        <v>1</v>
      </c>
      <c r="K8" s="113"/>
      <c r="M8" s="3"/>
    </row>
    <row r="9" spans="1:19" ht="13.5" customHeight="1" thickBot="1">
      <c r="A9" s="120"/>
      <c r="B9" s="103" t="s">
        <v>371</v>
      </c>
      <c r="C9" s="101" t="s">
        <v>372</v>
      </c>
      <c r="D9" s="102" t="s">
        <v>371</v>
      </c>
      <c r="E9" s="101" t="s">
        <v>372</v>
      </c>
      <c r="F9" s="102" t="s">
        <v>371</v>
      </c>
      <c r="G9" s="101" t="s">
        <v>372</v>
      </c>
      <c r="H9" s="98" t="s">
        <v>184</v>
      </c>
      <c r="I9" s="52" t="s">
        <v>185</v>
      </c>
      <c r="J9" s="51" t="s">
        <v>184</v>
      </c>
      <c r="K9" s="52" t="s">
        <v>185</v>
      </c>
    </row>
    <row r="10" spans="1:19">
      <c r="A10" s="4"/>
      <c r="B10" s="42"/>
      <c r="C10" s="5"/>
      <c r="D10" s="6"/>
      <c r="E10" s="6"/>
      <c r="F10" s="6"/>
      <c r="G10" s="7"/>
      <c r="H10" s="7"/>
      <c r="I10" s="7"/>
      <c r="J10" s="7"/>
      <c r="K10" s="8"/>
    </row>
    <row r="11" spans="1:19" ht="12.75" customHeight="1">
      <c r="A11" s="11" t="s">
        <v>34</v>
      </c>
      <c r="B11" s="54">
        <f t="shared" ref="B11:B42" si="0">D11+F11+H11+J11</f>
        <v>638004226</v>
      </c>
      <c r="C11" s="54">
        <f t="shared" ref="C11:C42" si="1">E11+G11+I11+K11</f>
        <v>487422856.78862</v>
      </c>
      <c r="D11" s="59">
        <f>SUM(D12,D23,D26,D27,D30)</f>
        <v>149637626</v>
      </c>
      <c r="E11" s="59">
        <f>SUM(E12,E23,E26,E27,E30)</f>
        <v>127895088.78862001</v>
      </c>
      <c r="F11" s="59">
        <f t="shared" ref="F11:G11" si="2">SUM(F12,F23,F26,F27,F30)</f>
        <v>237915201</v>
      </c>
      <c r="G11" s="59">
        <f t="shared" si="2"/>
        <v>161525422</v>
      </c>
      <c r="H11" s="59">
        <f>H12+H23+H26+H27+H30</f>
        <v>250451399</v>
      </c>
      <c r="I11" s="59">
        <f t="shared" ref="H11:I11" si="3">SUM(I12,I23,I26,I27,I30)</f>
        <v>198002346</v>
      </c>
      <c r="J11" s="59"/>
      <c r="K11" s="60"/>
      <c r="L11" s="61" t="s">
        <v>186</v>
      </c>
      <c r="M11" s="3">
        <f>101634193.33863/2*3</f>
        <v>152451290.007945</v>
      </c>
      <c r="S11" s="61" t="s">
        <v>186</v>
      </c>
    </row>
    <row r="12" spans="1:19">
      <c r="A12" s="11" t="s">
        <v>35</v>
      </c>
      <c r="B12" s="54">
        <f t="shared" si="0"/>
        <v>140446076</v>
      </c>
      <c r="C12" s="54">
        <f t="shared" si="1"/>
        <v>79981262.898369998</v>
      </c>
      <c r="D12" s="59">
        <f>SUM(D13:D22)</f>
        <v>35289062</v>
      </c>
      <c r="E12" s="59">
        <f>SUM(E13:E22)</f>
        <v>27808271.398370001</v>
      </c>
      <c r="F12" s="59">
        <f t="shared" ref="F12:G12" si="4">SUM(F13:F22)</f>
        <v>51354012</v>
      </c>
      <c r="G12" s="59">
        <f t="shared" si="4"/>
        <v>23196269</v>
      </c>
      <c r="H12" s="59">
        <f>H13+H14+H15+H16+H17+H18+H19+H20</f>
        <v>53803002</v>
      </c>
      <c r="I12" s="59">
        <f t="shared" ref="H12:I12" si="5">SUM(I13:I22)</f>
        <v>28976722.5</v>
      </c>
      <c r="J12" s="59"/>
      <c r="K12" s="60"/>
      <c r="L12" s="61" t="s">
        <v>187</v>
      </c>
      <c r="M12" s="3"/>
      <c r="N12" s="3"/>
      <c r="O12" s="3"/>
      <c r="S12" s="61" t="s">
        <v>187</v>
      </c>
    </row>
    <row r="13" spans="1:19">
      <c r="A13" s="12" t="s">
        <v>36</v>
      </c>
      <c r="B13" s="54">
        <f t="shared" si="0"/>
        <v>2425377</v>
      </c>
      <c r="C13" s="54">
        <f t="shared" si="1"/>
        <v>2336149.5984700001</v>
      </c>
      <c r="D13" s="63">
        <f>[25]РеалПрод!C21+[26]Свод!C19</f>
        <v>808459</v>
      </c>
      <c r="E13" s="63">
        <v>600892.59846999997</v>
      </c>
      <c r="F13" s="63">
        <v>808459</v>
      </c>
      <c r="G13" s="63">
        <v>830676</v>
      </c>
      <c r="H13" s="63">
        <v>808459</v>
      </c>
      <c r="I13" s="63">
        <f>603054/2*3</f>
        <v>904581</v>
      </c>
      <c r="J13" s="44"/>
      <c r="K13" s="64"/>
      <c r="L13" s="62" t="s">
        <v>188</v>
      </c>
      <c r="M13" s="3"/>
      <c r="S13" s="62" t="s">
        <v>188</v>
      </c>
    </row>
    <row r="14" spans="1:19">
      <c r="A14" s="12" t="s">
        <v>37</v>
      </c>
      <c r="B14" s="54">
        <f t="shared" si="0"/>
        <v>10612644</v>
      </c>
      <c r="C14" s="54">
        <f t="shared" si="1"/>
        <v>9725426.0567600001</v>
      </c>
      <c r="D14" s="63">
        <f>[25]РеалПрод!C22+[26]Свод!C20</f>
        <v>1923250</v>
      </c>
      <c r="E14" s="63">
        <v>3229416.0567600001</v>
      </c>
      <c r="F14" s="63">
        <v>3403012</v>
      </c>
      <c r="G14" s="63">
        <v>2805788</v>
      </c>
      <c r="H14" s="63">
        <v>5286382</v>
      </c>
      <c r="I14" s="63">
        <f>2460148/2*3</f>
        <v>3690222</v>
      </c>
      <c r="J14" s="44"/>
      <c r="K14" s="64"/>
      <c r="L14" s="62" t="s">
        <v>189</v>
      </c>
      <c r="M14" s="3"/>
      <c r="S14" s="62" t="s">
        <v>189</v>
      </c>
    </row>
    <row r="15" spans="1:19">
      <c r="A15" s="12" t="s">
        <v>38</v>
      </c>
      <c r="B15" s="54">
        <f t="shared" si="0"/>
        <v>2612092</v>
      </c>
      <c r="C15" s="54">
        <f t="shared" si="1"/>
        <v>3625208.18542</v>
      </c>
      <c r="D15" s="63">
        <f>[25]РеалПрод!C23+[26]Свод!C21</f>
        <v>639192</v>
      </c>
      <c r="E15" s="63">
        <v>1171400.18542</v>
      </c>
      <c r="F15" s="63">
        <v>851506</v>
      </c>
      <c r="G15" s="63">
        <v>1155246</v>
      </c>
      <c r="H15" s="63">
        <v>1121394</v>
      </c>
      <c r="I15" s="63">
        <f>865708/2*3</f>
        <v>1298562</v>
      </c>
      <c r="J15" s="44"/>
      <c r="K15" s="64"/>
      <c r="L15" s="62" t="s">
        <v>190</v>
      </c>
      <c r="M15" s="3"/>
      <c r="S15" s="62" t="s">
        <v>190</v>
      </c>
    </row>
    <row r="16" spans="1:19">
      <c r="A16" s="12" t="s">
        <v>39</v>
      </c>
      <c r="B16" s="54">
        <f t="shared" si="0"/>
        <v>57138365</v>
      </c>
      <c r="C16" s="54">
        <f t="shared" si="1"/>
        <v>19059946.223329999</v>
      </c>
      <c r="D16" s="63">
        <v>14641895</v>
      </c>
      <c r="E16" s="63">
        <v>7762630.7233300004</v>
      </c>
      <c r="F16" s="63">
        <v>22539653</v>
      </c>
      <c r="G16" s="63">
        <v>5267254</v>
      </c>
      <c r="H16" s="63">
        <v>19956817</v>
      </c>
      <c r="I16" s="63">
        <f>4020041/2*3</f>
        <v>6030061.5</v>
      </c>
      <c r="J16" s="44"/>
      <c r="K16" s="64"/>
      <c r="L16" s="62" t="s">
        <v>191</v>
      </c>
      <c r="M16" s="3"/>
      <c r="N16" s="3"/>
      <c r="O16" s="3"/>
      <c r="S16" s="62" t="s">
        <v>191</v>
      </c>
    </row>
    <row r="17" spans="1:19">
      <c r="A17" s="12" t="s">
        <v>40</v>
      </c>
      <c r="B17" s="54">
        <f t="shared" si="0"/>
        <v>3806031</v>
      </c>
      <c r="C17" s="54">
        <f t="shared" si="1"/>
        <v>2220610.6464200001</v>
      </c>
      <c r="D17" s="63">
        <v>1268677</v>
      </c>
      <c r="E17" s="63">
        <v>980302.64642</v>
      </c>
      <c r="F17" s="63">
        <v>1268677</v>
      </c>
      <c r="G17" s="63">
        <v>561099</v>
      </c>
      <c r="H17" s="63">
        <v>1268677</v>
      </c>
      <c r="I17" s="63">
        <f>452806/2*3</f>
        <v>679209</v>
      </c>
      <c r="J17" s="44"/>
      <c r="K17" s="64"/>
      <c r="L17" s="62" t="s">
        <v>192</v>
      </c>
      <c r="M17" s="3"/>
      <c r="S17" s="62" t="s">
        <v>192</v>
      </c>
    </row>
    <row r="18" spans="1:19">
      <c r="A18" s="12" t="s">
        <v>41</v>
      </c>
      <c r="B18" s="54">
        <f t="shared" si="0"/>
        <v>28041359</v>
      </c>
      <c r="C18" s="54">
        <f t="shared" si="1"/>
        <v>23775869.44475</v>
      </c>
      <c r="D18" s="63">
        <v>7354832</v>
      </c>
      <c r="E18" s="63">
        <v>7481801.9447499998</v>
      </c>
      <c r="F18" s="63">
        <v>10619496</v>
      </c>
      <c r="G18" s="63">
        <v>8304256</v>
      </c>
      <c r="H18" s="63">
        <v>10067031</v>
      </c>
      <c r="I18" s="63">
        <f>5326541/2*3</f>
        <v>7989811.5</v>
      </c>
      <c r="J18" s="44"/>
      <c r="K18" s="64"/>
      <c r="L18" s="62" t="s">
        <v>193</v>
      </c>
      <c r="M18" s="3"/>
      <c r="S18" s="62" t="s">
        <v>193</v>
      </c>
    </row>
    <row r="19" spans="1:19">
      <c r="A19" s="12" t="s">
        <v>42</v>
      </c>
      <c r="B19" s="54">
        <f t="shared" si="0"/>
        <v>35689089</v>
      </c>
      <c r="C19" s="54">
        <f t="shared" si="1"/>
        <v>9579642.0056999996</v>
      </c>
      <c r="D19" s="63">
        <f>[25]РеалПрод!C27+[26]Свод!C25</f>
        <v>8611384</v>
      </c>
      <c r="E19" s="63">
        <v>1586238.5057000001</v>
      </c>
      <c r="F19" s="63">
        <v>11822836</v>
      </c>
      <c r="G19" s="63">
        <v>3041170</v>
      </c>
      <c r="H19" s="63">
        <v>15254869</v>
      </c>
      <c r="I19" s="63">
        <f>3301489/2*3</f>
        <v>4952233.5</v>
      </c>
      <c r="J19" s="44"/>
      <c r="K19" s="64"/>
      <c r="L19" s="62" t="s">
        <v>194</v>
      </c>
      <c r="M19" s="3"/>
      <c r="S19" s="62" t="s">
        <v>194</v>
      </c>
    </row>
    <row r="20" spans="1:19">
      <c r="A20" s="12" t="s">
        <v>43</v>
      </c>
      <c r="B20" s="54">
        <f t="shared" si="0"/>
        <v>121119</v>
      </c>
      <c r="C20" s="54">
        <f t="shared" si="1"/>
        <v>79908.86924</v>
      </c>
      <c r="D20" s="63">
        <f>[25]РеалПрод!C28+[26]Свод!C26</f>
        <v>41373</v>
      </c>
      <c r="E20" s="63">
        <v>27895.36924</v>
      </c>
      <c r="F20" s="63">
        <v>40373</v>
      </c>
      <c r="G20" s="63">
        <v>26755</v>
      </c>
      <c r="H20" s="63">
        <v>39373</v>
      </c>
      <c r="I20" s="63">
        <f>16839/2*3</f>
        <v>25258.5</v>
      </c>
      <c r="J20" s="44"/>
      <c r="K20" s="64"/>
      <c r="L20" s="62" t="s">
        <v>195</v>
      </c>
      <c r="M20" s="3"/>
      <c r="S20" s="62" t="s">
        <v>195</v>
      </c>
    </row>
    <row r="21" spans="1:19">
      <c r="A21" s="12" t="s">
        <v>44</v>
      </c>
      <c r="B21" s="54">
        <f t="shared" si="0"/>
        <v>0</v>
      </c>
      <c r="C21" s="54">
        <f t="shared" si="1"/>
        <v>9373835.5552700013</v>
      </c>
      <c r="D21" s="63">
        <f>[25]РеалПрод!C29+[26]Свод!C27</f>
        <v>0</v>
      </c>
      <c r="E21" s="63">
        <v>4952755.5552700004</v>
      </c>
      <c r="F21" s="63">
        <v>0</v>
      </c>
      <c r="G21" s="63">
        <v>1110823</v>
      </c>
      <c r="H21" s="63">
        <v>0</v>
      </c>
      <c r="I21" s="63">
        <f>2206838/2*3</f>
        <v>3310257</v>
      </c>
      <c r="J21" s="44"/>
      <c r="K21" s="64"/>
      <c r="L21" s="62" t="s">
        <v>196</v>
      </c>
      <c r="M21" s="3"/>
      <c r="S21" s="62" t="s">
        <v>196</v>
      </c>
    </row>
    <row r="22" spans="1:19">
      <c r="A22" s="13" t="s">
        <v>45</v>
      </c>
      <c r="B22" s="54">
        <f t="shared" si="0"/>
        <v>0</v>
      </c>
      <c r="C22" s="54">
        <f t="shared" si="1"/>
        <v>204666.31300999998</v>
      </c>
      <c r="D22" s="63">
        <f>[25]РеалПрод!C30+[26]Свод!C28</f>
        <v>0</v>
      </c>
      <c r="E22" s="63">
        <v>14937.81301</v>
      </c>
      <c r="F22" s="63">
        <v>0</v>
      </c>
      <c r="G22" s="63">
        <v>93202</v>
      </c>
      <c r="H22" s="63">
        <v>0</v>
      </c>
      <c r="I22" s="63">
        <f>64351/2*3</f>
        <v>96526.5</v>
      </c>
      <c r="J22" s="63"/>
      <c r="K22" s="63"/>
      <c r="L22" s="65" t="s">
        <v>197</v>
      </c>
      <c r="M22" s="3"/>
      <c r="S22" s="65" t="s">
        <v>197</v>
      </c>
    </row>
    <row r="23" spans="1:19">
      <c r="A23" s="11" t="s">
        <v>46</v>
      </c>
      <c r="B23" s="54">
        <f t="shared" si="0"/>
        <v>132905391</v>
      </c>
      <c r="C23" s="54">
        <f t="shared" si="1"/>
        <v>160799947.62573001</v>
      </c>
      <c r="D23" s="59">
        <f>D24+D25</f>
        <v>8779409</v>
      </c>
      <c r="E23" s="59">
        <f>E24+E25</f>
        <v>35908747.12573</v>
      </c>
      <c r="F23" s="59">
        <f t="shared" ref="F23:I23" si="6">F24+F25</f>
        <v>59371542</v>
      </c>
      <c r="G23" s="59">
        <f t="shared" si="6"/>
        <v>53295665</v>
      </c>
      <c r="H23" s="59">
        <f>H24+H25</f>
        <v>64754440</v>
      </c>
      <c r="I23" s="59">
        <f t="shared" si="6"/>
        <v>71595535.5</v>
      </c>
      <c r="J23" s="59"/>
      <c r="K23" s="60"/>
      <c r="L23" s="61" t="s">
        <v>198</v>
      </c>
      <c r="M23" s="3"/>
      <c r="S23" s="61" t="s">
        <v>198</v>
      </c>
    </row>
    <row r="24" spans="1:19" ht="12.75" customHeight="1">
      <c r="A24" s="12" t="s">
        <v>47</v>
      </c>
      <c r="B24" s="54">
        <f t="shared" si="0"/>
        <v>130886400</v>
      </c>
      <c r="C24" s="54">
        <f t="shared" si="1"/>
        <v>157740697.41194999</v>
      </c>
      <c r="D24" s="63">
        <f>[25]РеалПрод!C53+[26]Свод!C51</f>
        <v>8628800</v>
      </c>
      <c r="E24" s="63">
        <v>35141314.41195</v>
      </c>
      <c r="F24" s="63">
        <v>58628800</v>
      </c>
      <c r="G24" s="63">
        <v>51942339</v>
      </c>
      <c r="H24" s="63">
        <v>63628800</v>
      </c>
      <c r="I24" s="63">
        <f>47104696/2*3</f>
        <v>70657044</v>
      </c>
      <c r="J24" s="44"/>
      <c r="K24" s="64"/>
      <c r="L24" s="62" t="s">
        <v>199</v>
      </c>
      <c r="S24" s="62" t="s">
        <v>199</v>
      </c>
    </row>
    <row r="25" spans="1:19">
      <c r="A25" s="12" t="s">
        <v>48</v>
      </c>
      <c r="B25" s="54">
        <f t="shared" si="0"/>
        <v>2018991</v>
      </c>
      <c r="C25" s="54">
        <f t="shared" si="1"/>
        <v>3059250.2137799999</v>
      </c>
      <c r="D25" s="63">
        <f>8779409-D24</f>
        <v>150609</v>
      </c>
      <c r="E25" s="63">
        <v>767432.71377999999</v>
      </c>
      <c r="F25" s="63">
        <f>59371542-F24</f>
        <v>742742</v>
      </c>
      <c r="G25" s="63">
        <v>1353326</v>
      </c>
      <c r="H25" s="63">
        <v>1125640</v>
      </c>
      <c r="I25" s="63">
        <f>625661/2*3</f>
        <v>938491.5</v>
      </c>
      <c r="J25" s="44"/>
      <c r="K25" s="64"/>
      <c r="L25" s="62" t="s">
        <v>200</v>
      </c>
      <c r="S25" s="62" t="s">
        <v>200</v>
      </c>
    </row>
    <row r="26" spans="1:19">
      <c r="A26" s="12" t="s">
        <v>49</v>
      </c>
      <c r="B26" s="54">
        <f t="shared" si="0"/>
        <v>2243917</v>
      </c>
      <c r="C26" s="54">
        <f t="shared" si="1"/>
        <v>1295344.56611</v>
      </c>
      <c r="D26" s="63">
        <f>[25]РеалПрод!C55+[26]Свод!C53</f>
        <v>691771</v>
      </c>
      <c r="E26" s="63">
        <v>319133.56611000001</v>
      </c>
      <c r="F26" s="63">
        <v>773908</v>
      </c>
      <c r="G26" s="63">
        <v>678536</v>
      </c>
      <c r="H26" s="63">
        <v>778238</v>
      </c>
      <c r="I26" s="63">
        <f>198450/2*3</f>
        <v>297675</v>
      </c>
      <c r="J26" s="44"/>
      <c r="K26" s="64"/>
      <c r="L26" s="58" t="s">
        <v>201</v>
      </c>
      <c r="M26" s="3"/>
      <c r="S26" s="58" t="s">
        <v>201</v>
      </c>
    </row>
    <row r="27" spans="1:19">
      <c r="A27" s="12" t="s">
        <v>50</v>
      </c>
      <c r="B27" s="54">
        <f t="shared" si="0"/>
        <v>290402105</v>
      </c>
      <c r="C27" s="54">
        <f t="shared" si="1"/>
        <v>192828035.21930999</v>
      </c>
      <c r="D27" s="63">
        <f>D28+D29</f>
        <v>80042481</v>
      </c>
      <c r="E27" s="63">
        <f>E28+E29</f>
        <v>44189134.219310001</v>
      </c>
      <c r="F27" s="63">
        <f t="shared" ref="F27:I27" si="7">F28+F29</f>
        <v>102738613</v>
      </c>
      <c r="G27" s="63">
        <f t="shared" si="7"/>
        <v>66755785</v>
      </c>
      <c r="H27" s="63">
        <f>H28+H29</f>
        <v>107621011</v>
      </c>
      <c r="I27" s="63">
        <f t="shared" si="7"/>
        <v>81883116</v>
      </c>
      <c r="J27" s="44"/>
      <c r="K27" s="64"/>
      <c r="L27" s="61" t="s">
        <v>202</v>
      </c>
      <c r="M27" s="3"/>
      <c r="S27" s="61" t="s">
        <v>202</v>
      </c>
    </row>
    <row r="28" spans="1:19">
      <c r="A28" s="12" t="s">
        <v>51</v>
      </c>
      <c r="B28" s="54">
        <f t="shared" si="0"/>
        <v>289769206</v>
      </c>
      <c r="C28" s="54">
        <f t="shared" si="1"/>
        <v>192612489.22841001</v>
      </c>
      <c r="D28" s="68">
        <f>[25]РеалПрод!C57+[26]Свод!C55</f>
        <v>79686338</v>
      </c>
      <c r="E28" s="68">
        <v>44056795.728409998</v>
      </c>
      <c r="F28" s="68">
        <v>102548900</v>
      </c>
      <c r="G28" s="68">
        <v>66704133</v>
      </c>
      <c r="H28" s="69">
        <v>107533968</v>
      </c>
      <c r="I28" s="68">
        <f>54567707/2*3</f>
        <v>81851560.5</v>
      </c>
      <c r="J28" s="69"/>
      <c r="K28" s="69"/>
      <c r="L28" s="62" t="s">
        <v>203</v>
      </c>
      <c r="M28" s="3"/>
      <c r="S28" s="62" t="s">
        <v>203</v>
      </c>
    </row>
    <row r="29" spans="1:19">
      <c r="A29" s="12" t="s">
        <v>52</v>
      </c>
      <c r="B29" s="54">
        <f t="shared" si="0"/>
        <v>632899</v>
      </c>
      <c r="C29" s="54">
        <f t="shared" si="1"/>
        <v>215545.9909</v>
      </c>
      <c r="D29" s="63">
        <v>356143</v>
      </c>
      <c r="E29" s="63">
        <v>132338.4909</v>
      </c>
      <c r="F29" s="63">
        <v>189713</v>
      </c>
      <c r="G29" s="63">
        <v>51652</v>
      </c>
      <c r="H29" s="63">
        <v>87043</v>
      </c>
      <c r="I29" s="63">
        <f>21037/2*3</f>
        <v>31555.5</v>
      </c>
      <c r="J29" s="44"/>
      <c r="K29" s="64"/>
      <c r="L29" s="62" t="s">
        <v>204</v>
      </c>
      <c r="M29" s="3"/>
      <c r="S29" s="62" t="s">
        <v>204</v>
      </c>
    </row>
    <row r="30" spans="1:19" ht="12.75" customHeight="1">
      <c r="A30" s="12" t="s">
        <v>53</v>
      </c>
      <c r="B30" s="54">
        <f t="shared" si="0"/>
        <v>72006737</v>
      </c>
      <c r="C30" s="54">
        <f t="shared" si="1"/>
        <v>52518266.479100004</v>
      </c>
      <c r="D30" s="70">
        <f>D31</f>
        <v>24834903</v>
      </c>
      <c r="E30" s="70">
        <f>E31+E32+E33</f>
        <v>19669802.4791</v>
      </c>
      <c r="F30" s="70">
        <f t="shared" ref="F30:I30" si="8">F31+F32+F33</f>
        <v>23677126</v>
      </c>
      <c r="G30" s="70">
        <f t="shared" si="8"/>
        <v>17599167</v>
      </c>
      <c r="H30" s="70">
        <v>23494708</v>
      </c>
      <c r="I30" s="70">
        <f t="shared" si="8"/>
        <v>15249297</v>
      </c>
      <c r="J30" s="45"/>
      <c r="K30" s="71"/>
      <c r="L30" s="58" t="s">
        <v>205</v>
      </c>
      <c r="M30" s="3"/>
      <c r="N30" s="3"/>
      <c r="O30" s="3"/>
      <c r="S30" s="58" t="s">
        <v>205</v>
      </c>
    </row>
    <row r="31" spans="1:19" ht="12.75" customHeight="1">
      <c r="A31" s="12" t="s">
        <v>54</v>
      </c>
      <c r="B31" s="54">
        <f t="shared" si="0"/>
        <v>72006737</v>
      </c>
      <c r="C31" s="54">
        <f t="shared" si="1"/>
        <v>52518266.479100004</v>
      </c>
      <c r="D31" s="63">
        <v>24834903</v>
      </c>
      <c r="E31" s="63">
        <v>19669802.4791</v>
      </c>
      <c r="F31" s="63">
        <v>23677126</v>
      </c>
      <c r="G31" s="63">
        <v>17599167</v>
      </c>
      <c r="H31" s="63">
        <v>23494708</v>
      </c>
      <c r="I31" s="63">
        <f>10166198/2*3</f>
        <v>15249297</v>
      </c>
      <c r="J31" s="44"/>
      <c r="K31" s="64"/>
      <c r="L31" s="72" t="s">
        <v>206</v>
      </c>
      <c r="M31" s="3"/>
      <c r="S31" s="72" t="s">
        <v>206</v>
      </c>
    </row>
    <row r="32" spans="1:19" ht="12.75" customHeight="1" outlineLevel="1">
      <c r="A32" s="12" t="s">
        <v>140</v>
      </c>
      <c r="B32" s="54">
        <f t="shared" si="0"/>
        <v>0</v>
      </c>
      <c r="C32" s="54">
        <f t="shared" si="1"/>
        <v>0</v>
      </c>
      <c r="D32" s="63">
        <f>[25]РеалПрод!C61+[26]Свод!C59</f>
        <v>0</v>
      </c>
      <c r="E32" s="63"/>
      <c r="F32" s="63"/>
      <c r="G32" s="63"/>
      <c r="H32" s="63">
        <v>0</v>
      </c>
      <c r="I32" s="63"/>
      <c r="J32" s="44"/>
      <c r="K32" s="64"/>
      <c r="L32" s="72" t="s">
        <v>207</v>
      </c>
      <c r="M32" s="3"/>
      <c r="S32" s="72" t="s">
        <v>207</v>
      </c>
    </row>
    <row r="33" spans="1:19" ht="12.75" customHeight="1" outlineLevel="1">
      <c r="A33" s="12" t="s">
        <v>141</v>
      </c>
      <c r="B33" s="54">
        <f t="shared" si="0"/>
        <v>0</v>
      </c>
      <c r="C33" s="54">
        <f t="shared" si="1"/>
        <v>0</v>
      </c>
      <c r="D33" s="63">
        <f>[25]РеалПрод!C62+[26]Свод!C60</f>
        <v>0</v>
      </c>
      <c r="E33" s="63"/>
      <c r="F33" s="63"/>
      <c r="G33" s="63"/>
      <c r="H33" s="63">
        <v>0</v>
      </c>
      <c r="I33" s="63"/>
      <c r="J33" s="44"/>
      <c r="K33" s="64"/>
      <c r="L33" s="72" t="s">
        <v>208</v>
      </c>
      <c r="M33" s="3"/>
      <c r="S33" s="72" t="s">
        <v>208</v>
      </c>
    </row>
    <row r="34" spans="1:19">
      <c r="A34" s="12" t="s">
        <v>55</v>
      </c>
      <c r="B34" s="54">
        <f t="shared" si="0"/>
        <v>230475939</v>
      </c>
      <c r="C34" s="54">
        <f t="shared" si="1"/>
        <v>205466058.26230001</v>
      </c>
      <c r="D34" s="70">
        <v>76945388</v>
      </c>
      <c r="E34" s="70">
        <v>66466936.2623</v>
      </c>
      <c r="F34" s="70">
        <v>76715093</v>
      </c>
      <c r="G34" s="70">
        <v>67879922</v>
      </c>
      <c r="H34" s="70">
        <v>76815458</v>
      </c>
      <c r="I34" s="70">
        <f>47412800/2*3</f>
        <v>71119200</v>
      </c>
      <c r="J34" s="45"/>
      <c r="K34" s="71"/>
      <c r="L34" s="58" t="s">
        <v>209</v>
      </c>
      <c r="M34" s="3"/>
      <c r="S34" s="58" t="s">
        <v>209</v>
      </c>
    </row>
    <row r="35" spans="1:19">
      <c r="A35" s="12" t="s">
        <v>56</v>
      </c>
      <c r="B35" s="54">
        <f t="shared" si="0"/>
        <v>27657112</v>
      </c>
      <c r="C35" s="54">
        <f t="shared" si="1"/>
        <v>24652907.31036</v>
      </c>
      <c r="D35" s="70">
        <v>9233444</v>
      </c>
      <c r="E35" s="70">
        <v>7977314.3103599995</v>
      </c>
      <c r="F35" s="70">
        <v>9205812</v>
      </c>
      <c r="G35" s="70">
        <v>8145591</v>
      </c>
      <c r="H35" s="70">
        <v>9217856</v>
      </c>
      <c r="I35" s="70">
        <f>5686668/2*3</f>
        <v>8530002</v>
      </c>
      <c r="J35" s="45"/>
      <c r="K35" s="71"/>
      <c r="L35" s="58" t="s">
        <v>210</v>
      </c>
      <c r="M35" s="3"/>
      <c r="S35" s="58" t="s">
        <v>210</v>
      </c>
    </row>
    <row r="36" spans="1:19">
      <c r="A36" s="12" t="s">
        <v>57</v>
      </c>
      <c r="B36" s="54">
        <f t="shared" si="0"/>
        <v>109024439</v>
      </c>
      <c r="C36" s="54">
        <f t="shared" si="1"/>
        <v>124427255.30658999</v>
      </c>
      <c r="D36" s="70">
        <f>[25]РеалПрод!C65+[26]Свод!C63</f>
        <v>36327335</v>
      </c>
      <c r="E36" s="70">
        <v>31357855.806589998</v>
      </c>
      <c r="F36" s="70">
        <v>36343077</v>
      </c>
      <c r="G36" s="70">
        <v>43929194</v>
      </c>
      <c r="H36" s="70">
        <v>36354027</v>
      </c>
      <c r="I36" s="70">
        <f>32760137/2*3</f>
        <v>49140205.5</v>
      </c>
      <c r="J36" s="45"/>
      <c r="K36" s="71"/>
      <c r="L36" s="58" t="s">
        <v>211</v>
      </c>
      <c r="M36" s="3"/>
      <c r="S36" s="58" t="s">
        <v>211</v>
      </c>
    </row>
    <row r="37" spans="1:19">
      <c r="A37" s="12" t="s">
        <v>58</v>
      </c>
      <c r="B37" s="54">
        <f t="shared" si="0"/>
        <v>1156</v>
      </c>
      <c r="C37" s="54">
        <f t="shared" si="1"/>
        <v>70946.861199999999</v>
      </c>
      <c r="D37" s="70">
        <f>[25]РеалПрод!C66+[26]АлКуПр!$C$35</f>
        <v>578</v>
      </c>
      <c r="E37" s="70">
        <v>38454.361199999999</v>
      </c>
      <c r="F37" s="70">
        <v>578</v>
      </c>
      <c r="G37" s="70">
        <v>20821</v>
      </c>
      <c r="H37" s="70">
        <v>0</v>
      </c>
      <c r="I37" s="70">
        <f>7781/2*3</f>
        <v>11671.5</v>
      </c>
      <c r="J37" s="45"/>
      <c r="K37" s="71"/>
      <c r="L37" s="58" t="s">
        <v>212</v>
      </c>
      <c r="M37" s="3"/>
      <c r="S37" s="58" t="s">
        <v>212</v>
      </c>
    </row>
    <row r="38" spans="1:19">
      <c r="A38" s="12" t="s">
        <v>59</v>
      </c>
      <c r="B38" s="54">
        <f t="shared" si="0"/>
        <v>25628889.5</v>
      </c>
      <c r="C38" s="54">
        <f t="shared" si="1"/>
        <v>28326586.30071</v>
      </c>
      <c r="D38" s="66">
        <f>D39+D61</f>
        <v>8461156</v>
      </c>
      <c r="E38" s="66">
        <f>E39+E61</f>
        <v>10258659.80071</v>
      </c>
      <c r="F38" s="66">
        <f t="shared" ref="F38:I38" si="9">F39+F61</f>
        <v>8632286</v>
      </c>
      <c r="G38" s="66">
        <f t="shared" si="9"/>
        <v>9601397</v>
      </c>
      <c r="H38" s="66">
        <f>H39+H61</f>
        <v>8535447.5</v>
      </c>
      <c r="I38" s="66">
        <f t="shared" si="9"/>
        <v>8466529.5</v>
      </c>
      <c r="J38" s="43"/>
      <c r="K38" s="60"/>
      <c r="L38" s="58" t="s">
        <v>213</v>
      </c>
      <c r="M38" s="3">
        <v>11096879.732999999</v>
      </c>
      <c r="S38" s="58" t="s">
        <v>213</v>
      </c>
    </row>
    <row r="39" spans="1:19">
      <c r="A39" s="12" t="s">
        <v>142</v>
      </c>
      <c r="B39" s="54">
        <f t="shared" si="0"/>
        <v>8726673</v>
      </c>
      <c r="C39" s="54">
        <f t="shared" si="1"/>
        <v>9119693.9434099998</v>
      </c>
      <c r="D39" s="59">
        <f>SUM(D40:D49)</f>
        <v>2890383</v>
      </c>
      <c r="E39" s="59">
        <f>SUM(E40:E49)</f>
        <v>3052065.9434099998</v>
      </c>
      <c r="F39" s="59">
        <f t="shared" ref="F39:I39" si="10">SUM(F40:F49)</f>
        <v>2924447</v>
      </c>
      <c r="G39" s="59">
        <f t="shared" si="10"/>
        <v>3066533</v>
      </c>
      <c r="H39" s="59">
        <f>H42+H43+H44+H45+H47+H48</f>
        <v>2911843</v>
      </c>
      <c r="I39" s="59">
        <f t="shared" si="10"/>
        <v>3001095</v>
      </c>
      <c r="J39" s="43"/>
      <c r="K39" s="60"/>
      <c r="L39" s="58" t="s">
        <v>214</v>
      </c>
      <c r="N39" s="16"/>
      <c r="S39" s="58" t="s">
        <v>214</v>
      </c>
    </row>
    <row r="40" spans="1:19">
      <c r="A40" s="12" t="s">
        <v>60</v>
      </c>
      <c r="B40" s="54">
        <f t="shared" si="0"/>
        <v>0</v>
      </c>
      <c r="C40" s="54">
        <f t="shared" si="1"/>
        <v>0</v>
      </c>
      <c r="D40" s="63">
        <f>[25]РеалПрод!C69</f>
        <v>0</v>
      </c>
      <c r="E40" s="63"/>
      <c r="F40" s="63"/>
      <c r="G40" s="63"/>
      <c r="H40" s="63">
        <v>0</v>
      </c>
      <c r="I40" s="63"/>
      <c r="J40" s="44"/>
      <c r="K40" s="64"/>
      <c r="L40" s="62" t="s">
        <v>215</v>
      </c>
      <c r="S40" s="62" t="s">
        <v>215</v>
      </c>
    </row>
    <row r="41" spans="1:19" ht="25.5" outlineLevel="1">
      <c r="A41" s="12" t="s">
        <v>143</v>
      </c>
      <c r="B41" s="54">
        <f t="shared" si="0"/>
        <v>0</v>
      </c>
      <c r="C41" s="54">
        <f t="shared" si="1"/>
        <v>0</v>
      </c>
      <c r="D41" s="63">
        <f>[25]РеалПрод!C70+[26]Свод!C67</f>
        <v>0</v>
      </c>
      <c r="E41" s="63"/>
      <c r="F41" s="63"/>
      <c r="G41" s="63"/>
      <c r="H41" s="63">
        <v>0</v>
      </c>
      <c r="I41" s="63"/>
      <c r="J41" s="44"/>
      <c r="K41" s="64"/>
      <c r="L41" s="62" t="s">
        <v>216</v>
      </c>
      <c r="S41" s="62" t="s">
        <v>216</v>
      </c>
    </row>
    <row r="42" spans="1:19">
      <c r="A42" s="12" t="s">
        <v>61</v>
      </c>
      <c r="B42" s="54">
        <f t="shared" si="0"/>
        <v>3781770</v>
      </c>
      <c r="C42" s="54">
        <f t="shared" si="1"/>
        <v>3789477.2037500003</v>
      </c>
      <c r="D42" s="63">
        <f>[25]РеалПрод!C71+[26]Свод!C69</f>
        <v>1260590</v>
      </c>
      <c r="E42" s="63">
        <v>1288798.7037500001</v>
      </c>
      <c r="F42" s="63">
        <v>1260590</v>
      </c>
      <c r="G42" s="63">
        <v>1288491</v>
      </c>
      <c r="H42" s="63">
        <v>1260590</v>
      </c>
      <c r="I42" s="63">
        <f>808125/2*3</f>
        <v>1212187.5</v>
      </c>
      <c r="J42" s="44"/>
      <c r="K42" s="64"/>
      <c r="L42" s="62" t="s">
        <v>217</v>
      </c>
      <c r="S42" s="62" t="s">
        <v>217</v>
      </c>
    </row>
    <row r="43" spans="1:19">
      <c r="A43" s="12" t="s">
        <v>62</v>
      </c>
      <c r="B43" s="54">
        <f t="shared" ref="B43:B74" si="11">D43+F43+H43+J43</f>
        <v>1836153</v>
      </c>
      <c r="C43" s="54">
        <f t="shared" ref="C43:C74" si="12">E43+G43+I43+K43</f>
        <v>2225603.5995</v>
      </c>
      <c r="D43" s="63">
        <f>[25]РеалПрод!C72+[26]Свод!C70</f>
        <v>612051</v>
      </c>
      <c r="E43" s="63">
        <v>732284.59950000001</v>
      </c>
      <c r="F43" s="63">
        <v>612051</v>
      </c>
      <c r="G43" s="63">
        <v>732285</v>
      </c>
      <c r="H43" s="63">
        <v>612051</v>
      </c>
      <c r="I43" s="63">
        <f>507356/2*3</f>
        <v>761034</v>
      </c>
      <c r="J43" s="44"/>
      <c r="K43" s="64"/>
      <c r="L43" s="62" t="s">
        <v>218</v>
      </c>
      <c r="S43" s="62" t="s">
        <v>218</v>
      </c>
    </row>
    <row r="44" spans="1:19">
      <c r="A44" s="12" t="s">
        <v>63</v>
      </c>
      <c r="B44" s="54">
        <f t="shared" si="11"/>
        <v>2635953</v>
      </c>
      <c r="C44" s="54">
        <f t="shared" si="12"/>
        <v>3049232.0539500001</v>
      </c>
      <c r="D44" s="63">
        <f>[25]РеалПрод!C73+[26]Свод!C71</f>
        <v>878651</v>
      </c>
      <c r="E44" s="63">
        <v>1020746.55395</v>
      </c>
      <c r="F44" s="63">
        <v>878651</v>
      </c>
      <c r="G44" s="63">
        <v>1012864</v>
      </c>
      <c r="H44" s="63">
        <v>878651</v>
      </c>
      <c r="I44" s="63">
        <f>677081/2*3</f>
        <v>1015621.5</v>
      </c>
      <c r="J44" s="44"/>
      <c r="K44" s="64"/>
      <c r="L44" s="62" t="s">
        <v>219</v>
      </c>
      <c r="S44" s="62" t="s">
        <v>219</v>
      </c>
    </row>
    <row r="45" spans="1:19">
      <c r="A45" s="12" t="s">
        <v>64</v>
      </c>
      <c r="B45" s="54">
        <f t="shared" si="11"/>
        <v>293532</v>
      </c>
      <c r="C45" s="54">
        <f t="shared" si="12"/>
        <v>0</v>
      </c>
      <c r="D45" s="63">
        <f>[25]РеалПрод!C74+[26]Свод!C104</f>
        <v>95985</v>
      </c>
      <c r="E45" s="63">
        <v>0</v>
      </c>
      <c r="F45" s="63">
        <v>98959</v>
      </c>
      <c r="G45" s="63"/>
      <c r="H45" s="63">
        <v>98588</v>
      </c>
      <c r="I45" s="63"/>
      <c r="J45" s="63"/>
      <c r="K45" s="63"/>
      <c r="L45" s="62" t="s">
        <v>220</v>
      </c>
      <c r="S45" s="62" t="s">
        <v>220</v>
      </c>
    </row>
    <row r="46" spans="1:19">
      <c r="A46" s="12" t="s">
        <v>65</v>
      </c>
      <c r="B46" s="54">
        <f t="shared" si="11"/>
        <v>0</v>
      </c>
      <c r="C46" s="54">
        <f t="shared" si="12"/>
        <v>0</v>
      </c>
      <c r="D46" s="63">
        <f>[25]РеалПрод!C75+[26]Свод!C73</f>
        <v>0</v>
      </c>
      <c r="E46" s="63"/>
      <c r="F46" s="63"/>
      <c r="G46" s="63"/>
      <c r="H46" s="63">
        <v>0</v>
      </c>
      <c r="I46" s="63"/>
      <c r="J46" s="44"/>
      <c r="K46" s="64"/>
      <c r="L46" s="62" t="s">
        <v>221</v>
      </c>
      <c r="S46" s="62" t="s">
        <v>221</v>
      </c>
    </row>
    <row r="47" spans="1:19" ht="12.75" customHeight="1">
      <c r="A47" s="12" t="s">
        <v>66</v>
      </c>
      <c r="B47" s="54">
        <f t="shared" si="11"/>
        <v>34146</v>
      </c>
      <c r="C47" s="54">
        <f t="shared" si="12"/>
        <v>0</v>
      </c>
      <c r="D47" s="63">
        <f>[25]РеалПрод!C76+[26]Свод!C75</f>
        <v>11382</v>
      </c>
      <c r="E47" s="63">
        <v>0</v>
      </c>
      <c r="F47" s="63">
        <v>11382</v>
      </c>
      <c r="G47" s="63"/>
      <c r="H47" s="63">
        <v>11382</v>
      </c>
      <c r="I47" s="63"/>
      <c r="J47" s="44"/>
      <c r="K47" s="64"/>
      <c r="L47" s="62" t="s">
        <v>222</v>
      </c>
      <c r="S47" s="62" t="s">
        <v>222</v>
      </c>
    </row>
    <row r="48" spans="1:19" ht="12.75" customHeight="1">
      <c r="A48" s="12" t="s">
        <v>67</v>
      </c>
      <c r="B48" s="54">
        <f t="shared" si="11"/>
        <v>145119</v>
      </c>
      <c r="C48" s="54">
        <f t="shared" si="12"/>
        <v>55381.086210000001</v>
      </c>
      <c r="D48" s="63">
        <v>31724</v>
      </c>
      <c r="E48" s="63">
        <v>10236.086209999999</v>
      </c>
      <c r="F48" s="63">
        <v>62814</v>
      </c>
      <c r="G48" s="63">
        <v>32893</v>
      </c>
      <c r="H48" s="63">
        <v>50581</v>
      </c>
      <c r="I48" s="63">
        <f>12252</f>
        <v>12252</v>
      </c>
      <c r="J48" s="44"/>
      <c r="K48" s="64"/>
      <c r="L48" s="62" t="s">
        <v>223</v>
      </c>
      <c r="S48" s="62" t="s">
        <v>223</v>
      </c>
    </row>
    <row r="49" spans="1:19" ht="12.75" customHeight="1">
      <c r="A49" s="12" t="s">
        <v>68</v>
      </c>
      <c r="B49" s="54">
        <f t="shared" si="11"/>
        <v>0</v>
      </c>
      <c r="C49" s="54">
        <f t="shared" si="12"/>
        <v>0</v>
      </c>
      <c r="D49" s="63">
        <f>[25]РеалПрод!C78</f>
        <v>0</v>
      </c>
      <c r="E49" s="63"/>
      <c r="F49" s="63"/>
      <c r="G49" s="63"/>
      <c r="H49" s="63">
        <v>0</v>
      </c>
      <c r="I49" s="63"/>
      <c r="J49" s="44"/>
      <c r="K49" s="64"/>
      <c r="L49" s="62" t="s">
        <v>224</v>
      </c>
      <c r="S49" s="62" t="s">
        <v>224</v>
      </c>
    </row>
    <row r="50" spans="1:19" ht="12.75" hidden="1" customHeight="1" outlineLevel="1">
      <c r="A50" s="12" t="s">
        <v>2</v>
      </c>
      <c r="B50" s="54">
        <f t="shared" si="11"/>
        <v>0</v>
      </c>
      <c r="C50" s="54">
        <f t="shared" si="12"/>
        <v>0</v>
      </c>
      <c r="D50" s="73">
        <f>SUM(D51:D57)</f>
        <v>0</v>
      </c>
      <c r="E50" s="73"/>
      <c r="F50" s="73"/>
      <c r="G50" s="73"/>
      <c r="H50" s="63">
        <v>0</v>
      </c>
      <c r="I50" s="73"/>
      <c r="J50" s="46"/>
      <c r="K50" s="74"/>
      <c r="L50" s="72" t="s">
        <v>2</v>
      </c>
      <c r="S50" s="72" t="s">
        <v>2</v>
      </c>
    </row>
    <row r="51" spans="1:19" ht="12.75" hidden="1" customHeight="1" outlineLevel="1">
      <c r="A51" s="12" t="s">
        <v>3</v>
      </c>
      <c r="B51" s="54">
        <f t="shared" si="11"/>
        <v>0</v>
      </c>
      <c r="C51" s="54">
        <f t="shared" si="12"/>
        <v>0</v>
      </c>
      <c r="D51" s="63">
        <f>[25]РеалПрод!C80+[26]Свод!C79</f>
        <v>0</v>
      </c>
      <c r="E51" s="63"/>
      <c r="F51" s="63"/>
      <c r="G51" s="63"/>
      <c r="H51" s="63">
        <v>0</v>
      </c>
      <c r="I51" s="63"/>
      <c r="J51" s="44"/>
      <c r="K51" s="64"/>
      <c r="L51" s="72" t="s">
        <v>3</v>
      </c>
      <c r="S51" s="72" t="s">
        <v>3</v>
      </c>
    </row>
    <row r="52" spans="1:19" ht="12.75" hidden="1" customHeight="1" outlineLevel="1">
      <c r="A52" s="12" t="s">
        <v>4</v>
      </c>
      <c r="B52" s="54">
        <f t="shared" si="11"/>
        <v>0</v>
      </c>
      <c r="C52" s="54">
        <f t="shared" si="12"/>
        <v>0</v>
      </c>
      <c r="D52" s="63">
        <f>[25]РеалПрод!C81+[26]Свод!C80</f>
        <v>0</v>
      </c>
      <c r="E52" s="63"/>
      <c r="F52" s="63"/>
      <c r="G52" s="63"/>
      <c r="H52" s="63">
        <v>0</v>
      </c>
      <c r="I52" s="63"/>
      <c r="J52" s="44"/>
      <c r="K52" s="64"/>
      <c r="L52" s="72" t="s">
        <v>4</v>
      </c>
      <c r="S52" s="72" t="s">
        <v>4</v>
      </c>
    </row>
    <row r="53" spans="1:19" ht="12.75" hidden="1" customHeight="1" outlineLevel="1">
      <c r="A53" s="12" t="s">
        <v>5</v>
      </c>
      <c r="B53" s="54">
        <f t="shared" si="11"/>
        <v>0</v>
      </c>
      <c r="C53" s="54">
        <f t="shared" si="12"/>
        <v>0</v>
      </c>
      <c r="D53" s="63">
        <f>[25]РеалПрод!C82+[26]Свод!C81</f>
        <v>0</v>
      </c>
      <c r="E53" s="63"/>
      <c r="F53" s="63"/>
      <c r="G53" s="63"/>
      <c r="H53" s="63">
        <v>0</v>
      </c>
      <c r="I53" s="63"/>
      <c r="J53" s="44"/>
      <c r="K53" s="64"/>
      <c r="L53" s="72" t="s">
        <v>5</v>
      </c>
      <c r="S53" s="72" t="s">
        <v>5</v>
      </c>
    </row>
    <row r="54" spans="1:19" ht="12.75" hidden="1" customHeight="1" outlineLevel="1">
      <c r="A54" s="12" t="s">
        <v>6</v>
      </c>
      <c r="B54" s="54">
        <f t="shared" si="11"/>
        <v>0</v>
      </c>
      <c r="C54" s="54">
        <f t="shared" si="12"/>
        <v>0</v>
      </c>
      <c r="D54" s="63">
        <f>[25]РеалПрод!C83+[26]Свод!C82</f>
        <v>0</v>
      </c>
      <c r="E54" s="63"/>
      <c r="F54" s="63"/>
      <c r="G54" s="63"/>
      <c r="H54" s="63">
        <v>0</v>
      </c>
      <c r="I54" s="63"/>
      <c r="J54" s="44"/>
      <c r="K54" s="64"/>
      <c r="L54" s="72" t="s">
        <v>6</v>
      </c>
      <c r="S54" s="72" t="s">
        <v>6</v>
      </c>
    </row>
    <row r="55" spans="1:19" ht="12.75" hidden="1" customHeight="1" outlineLevel="1">
      <c r="A55" s="12" t="s">
        <v>7</v>
      </c>
      <c r="B55" s="54">
        <f t="shared" si="11"/>
        <v>0</v>
      </c>
      <c r="C55" s="54">
        <f t="shared" si="12"/>
        <v>0</v>
      </c>
      <c r="D55" s="63">
        <f>[25]РеалПрод!C84+[26]Свод!C83</f>
        <v>0</v>
      </c>
      <c r="E55" s="63"/>
      <c r="F55" s="63"/>
      <c r="G55" s="63"/>
      <c r="H55" s="63">
        <v>0</v>
      </c>
      <c r="I55" s="63"/>
      <c r="J55" s="44"/>
      <c r="K55" s="64"/>
      <c r="L55" s="72" t="s">
        <v>7</v>
      </c>
      <c r="S55" s="72" t="s">
        <v>7</v>
      </c>
    </row>
    <row r="56" spans="1:19" ht="12.75" hidden="1" customHeight="1" outlineLevel="1">
      <c r="A56" s="12" t="s">
        <v>8</v>
      </c>
      <c r="B56" s="54">
        <f t="shared" si="11"/>
        <v>0</v>
      </c>
      <c r="C56" s="54">
        <f t="shared" si="12"/>
        <v>0</v>
      </c>
      <c r="D56" s="63">
        <f>[25]РеалПрод!C85+[26]Свод!C84</f>
        <v>0</v>
      </c>
      <c r="E56" s="63"/>
      <c r="F56" s="63"/>
      <c r="G56" s="63"/>
      <c r="H56" s="63">
        <v>0</v>
      </c>
      <c r="I56" s="63"/>
      <c r="J56" s="44"/>
      <c r="K56" s="64"/>
      <c r="L56" s="72" t="s">
        <v>8</v>
      </c>
      <c r="S56" s="72" t="s">
        <v>8</v>
      </c>
    </row>
    <row r="57" spans="1:19" ht="12.75" hidden="1" customHeight="1" outlineLevel="1">
      <c r="A57" s="12" t="s">
        <v>9</v>
      </c>
      <c r="B57" s="54">
        <f t="shared" si="11"/>
        <v>0</v>
      </c>
      <c r="C57" s="54">
        <f t="shared" si="12"/>
        <v>0</v>
      </c>
      <c r="D57" s="63">
        <f>[25]РеалПрод!C86+[26]Свод!C85</f>
        <v>0</v>
      </c>
      <c r="E57" s="63"/>
      <c r="F57" s="63"/>
      <c r="G57" s="63"/>
      <c r="H57" s="63">
        <v>0</v>
      </c>
      <c r="I57" s="63"/>
      <c r="J57" s="44"/>
      <c r="K57" s="64"/>
      <c r="L57" s="72" t="s">
        <v>9</v>
      </c>
      <c r="S57" s="72" t="s">
        <v>9</v>
      </c>
    </row>
    <row r="58" spans="1:19" ht="12.75" hidden="1" customHeight="1" outlineLevel="1">
      <c r="A58" s="12" t="s">
        <v>10</v>
      </c>
      <c r="B58" s="54">
        <f t="shared" si="11"/>
        <v>0</v>
      </c>
      <c r="C58" s="54">
        <f t="shared" si="12"/>
        <v>0</v>
      </c>
      <c r="D58" s="63">
        <f>D59+D60</f>
        <v>0</v>
      </c>
      <c r="E58" s="63"/>
      <c r="F58" s="63"/>
      <c r="G58" s="63"/>
      <c r="H58" s="63">
        <v>0</v>
      </c>
      <c r="I58" s="63"/>
      <c r="J58" s="44"/>
      <c r="K58" s="64"/>
      <c r="L58" s="72" t="s">
        <v>10</v>
      </c>
      <c r="S58" s="72" t="s">
        <v>10</v>
      </c>
    </row>
    <row r="59" spans="1:19" ht="12.75" hidden="1" customHeight="1" outlineLevel="1">
      <c r="A59" s="12" t="s">
        <v>11</v>
      </c>
      <c r="B59" s="54">
        <f t="shared" si="11"/>
        <v>0</v>
      </c>
      <c r="C59" s="54">
        <f t="shared" si="12"/>
        <v>0</v>
      </c>
      <c r="D59" s="63">
        <f>[25]РеалПрод!C88+[26]Свод!C87</f>
        <v>0</v>
      </c>
      <c r="E59" s="63"/>
      <c r="F59" s="63"/>
      <c r="G59" s="63"/>
      <c r="H59" s="63">
        <v>0</v>
      </c>
      <c r="I59" s="63"/>
      <c r="J59" s="44"/>
      <c r="K59" s="64"/>
      <c r="L59" s="72" t="s">
        <v>11</v>
      </c>
      <c r="S59" s="72" t="s">
        <v>11</v>
      </c>
    </row>
    <row r="60" spans="1:19" ht="12.75" hidden="1" customHeight="1" outlineLevel="1">
      <c r="A60" s="12" t="s">
        <v>12</v>
      </c>
      <c r="B60" s="54">
        <f t="shared" si="11"/>
        <v>0</v>
      </c>
      <c r="C60" s="54">
        <f t="shared" si="12"/>
        <v>0</v>
      </c>
      <c r="D60" s="63">
        <f>[25]РеалПрод!C89+[26]Свод!C88</f>
        <v>0</v>
      </c>
      <c r="E60" s="63"/>
      <c r="F60" s="63"/>
      <c r="G60" s="63"/>
      <c r="H60" s="63">
        <v>0</v>
      </c>
      <c r="I60" s="63"/>
      <c r="J60" s="44"/>
      <c r="K60" s="64"/>
      <c r="L60" s="72" t="s">
        <v>12</v>
      </c>
      <c r="S60" s="72" t="s">
        <v>12</v>
      </c>
    </row>
    <row r="61" spans="1:19" collapsed="1">
      <c r="A61" s="12" t="s">
        <v>69</v>
      </c>
      <c r="B61" s="54">
        <f t="shared" si="11"/>
        <v>16902216.5</v>
      </c>
      <c r="C61" s="54">
        <f t="shared" si="12"/>
        <v>19206892.357300002</v>
      </c>
      <c r="D61" s="59">
        <f>SUM(D62:D77,D81,D82,D83)</f>
        <v>5570773</v>
      </c>
      <c r="E61" s="59">
        <f>SUM(E62:E77,E81,E82,E83,E79)</f>
        <v>7206593.8573000012</v>
      </c>
      <c r="F61" s="59">
        <f>SUM(F62:F77,F81,F82,F83,F79)</f>
        <v>5707839</v>
      </c>
      <c r="G61" s="59">
        <f t="shared" ref="G61:I61" si="13">SUM(G62:G77,G81,G82,G83,G79)</f>
        <v>6534864</v>
      </c>
      <c r="H61" s="130">
        <f>H62+H63+H64+H65+H66+H68+H69+H70+H71+H76</f>
        <v>5623604.5</v>
      </c>
      <c r="I61" s="59">
        <f t="shared" si="13"/>
        <v>5465434.5</v>
      </c>
      <c r="J61" s="43"/>
      <c r="K61" s="60"/>
      <c r="L61" s="58" t="s">
        <v>225</v>
      </c>
      <c r="S61" s="58" t="s">
        <v>225</v>
      </c>
    </row>
    <row r="62" spans="1:19">
      <c r="A62" s="12" t="s">
        <v>70</v>
      </c>
      <c r="B62" s="54">
        <f t="shared" si="11"/>
        <v>5773146</v>
      </c>
      <c r="C62" s="54">
        <f t="shared" si="12"/>
        <v>5569833.2900700001</v>
      </c>
      <c r="D62" s="63">
        <f>[25]РеалПрод!C91+[26]Свод!C91</f>
        <v>1920802</v>
      </c>
      <c r="E62" s="63">
        <v>1941112.7900700001</v>
      </c>
      <c r="F62" s="63">
        <v>1926172</v>
      </c>
      <c r="G62" s="63">
        <v>1991748</v>
      </c>
      <c r="H62" s="63">
        <v>1926172</v>
      </c>
      <c r="I62" s="63">
        <f>1091315/2*3</f>
        <v>1636972.5</v>
      </c>
      <c r="J62" s="44"/>
      <c r="K62" s="64"/>
      <c r="L62" s="72" t="s">
        <v>226</v>
      </c>
      <c r="S62" s="72" t="s">
        <v>226</v>
      </c>
    </row>
    <row r="63" spans="1:19">
      <c r="A63" s="96" t="s">
        <v>71</v>
      </c>
      <c r="B63" s="54">
        <f t="shared" si="11"/>
        <v>9000</v>
      </c>
      <c r="C63" s="54">
        <f t="shared" si="12"/>
        <v>305814.32900000003</v>
      </c>
      <c r="D63" s="63">
        <f>[25]РеалПрод!C92+[26]Свод!C92</f>
        <v>3000</v>
      </c>
      <c r="E63" s="63">
        <v>56904.828999999998</v>
      </c>
      <c r="F63" s="63">
        <v>3000</v>
      </c>
      <c r="G63" s="63">
        <v>149497</v>
      </c>
      <c r="H63" s="63">
        <v>3000</v>
      </c>
      <c r="I63" s="63">
        <f>66275/2*3</f>
        <v>99412.5</v>
      </c>
      <c r="J63" s="44"/>
      <c r="K63" s="64"/>
      <c r="L63" s="62" t="s">
        <v>227</v>
      </c>
      <c r="S63" s="62" t="s">
        <v>227</v>
      </c>
    </row>
    <row r="64" spans="1:19" s="56" customFormat="1">
      <c r="A64" s="96" t="s">
        <v>356</v>
      </c>
      <c r="B64" s="54">
        <f t="shared" si="11"/>
        <v>994801.5</v>
      </c>
      <c r="C64" s="54">
        <f t="shared" si="12"/>
        <v>1300504.9520999999</v>
      </c>
      <c r="D64" s="63"/>
      <c r="E64" s="63">
        <v>998453.95209999999</v>
      </c>
      <c r="F64" s="63">
        <v>994801.5</v>
      </c>
      <c r="G64" s="63">
        <f>177281+1119</f>
        <v>178400</v>
      </c>
      <c r="H64" s="63">
        <v>0</v>
      </c>
      <c r="I64" s="63">
        <f>82434/2*3</f>
        <v>123651</v>
      </c>
      <c r="J64" s="44"/>
      <c r="K64" s="64"/>
      <c r="L64" s="62" t="s">
        <v>339</v>
      </c>
      <c r="S64" s="62" t="s">
        <v>339</v>
      </c>
    </row>
    <row r="65" spans="1:19" s="56" customFormat="1">
      <c r="A65" s="96" t="s">
        <v>357</v>
      </c>
      <c r="B65" s="54">
        <f t="shared" si="11"/>
        <v>255528</v>
      </c>
      <c r="C65" s="54">
        <f t="shared" si="12"/>
        <v>301080</v>
      </c>
      <c r="D65" s="63"/>
      <c r="E65" s="63">
        <v>80912</v>
      </c>
      <c r="F65" s="63">
        <f>85176*2</f>
        <v>170352</v>
      </c>
      <c r="G65" s="63">
        <v>103312</v>
      </c>
      <c r="H65" s="63">
        <v>85176</v>
      </c>
      <c r="I65" s="63">
        <f>77904/2*3</f>
        <v>116856</v>
      </c>
      <c r="J65" s="44"/>
      <c r="K65" s="64"/>
      <c r="L65" s="62" t="s">
        <v>340</v>
      </c>
      <c r="S65" s="62" t="s">
        <v>340</v>
      </c>
    </row>
    <row r="66" spans="1:19">
      <c r="A66" s="96" t="s">
        <v>72</v>
      </c>
      <c r="B66" s="54">
        <f t="shared" si="11"/>
        <v>1987982.5</v>
      </c>
      <c r="C66" s="54">
        <f t="shared" si="12"/>
        <v>980031.27373000002</v>
      </c>
      <c r="D66" s="63">
        <f>[25]РеалПрод!C93+[26]Свод!C93</f>
        <v>990245.5</v>
      </c>
      <c r="E66" s="63">
        <v>318599.27373000002</v>
      </c>
      <c r="F66" s="63"/>
      <c r="G66" s="63">
        <v>351076</v>
      </c>
      <c r="H66" s="63">
        <v>997737</v>
      </c>
      <c r="I66" s="63">
        <f>206904/2*3</f>
        <v>310356</v>
      </c>
      <c r="J66" s="44"/>
      <c r="K66" s="64"/>
      <c r="L66" s="62" t="s">
        <v>341</v>
      </c>
      <c r="S66" s="62" t="s">
        <v>341</v>
      </c>
    </row>
    <row r="67" spans="1:19" ht="25.5" outlineLevel="1">
      <c r="A67" s="96" t="s">
        <v>358</v>
      </c>
      <c r="B67" s="54">
        <f t="shared" si="11"/>
        <v>0</v>
      </c>
      <c r="C67" s="54">
        <f t="shared" si="12"/>
        <v>131245.74799999999</v>
      </c>
      <c r="D67" s="63">
        <f>[25]РеалПрод!C94+[26]Свод!C94</f>
        <v>0</v>
      </c>
      <c r="E67" s="63">
        <v>39116.748</v>
      </c>
      <c r="F67" s="63">
        <v>0</v>
      </c>
      <c r="G67" s="63">
        <v>55457</v>
      </c>
      <c r="H67" s="63"/>
      <c r="I67" s="63">
        <f>24448/2*3</f>
        <v>36672</v>
      </c>
      <c r="J67" s="44"/>
      <c r="K67" s="64"/>
      <c r="L67" s="62" t="s">
        <v>342</v>
      </c>
      <c r="S67" s="62" t="s">
        <v>342</v>
      </c>
    </row>
    <row r="68" spans="1:19">
      <c r="A68" s="96" t="s">
        <v>73</v>
      </c>
      <c r="B68" s="54">
        <f t="shared" si="11"/>
        <v>1320507</v>
      </c>
      <c r="C68" s="54">
        <f t="shared" si="12"/>
        <v>834813.09571999998</v>
      </c>
      <c r="D68" s="63">
        <f>[25]РеалПрод!C95+[26]Свод!C95</f>
        <v>440077</v>
      </c>
      <c r="E68" s="63">
        <v>271110.09571999998</v>
      </c>
      <c r="F68" s="63">
        <v>440215</v>
      </c>
      <c r="G68" s="63">
        <v>285042</v>
      </c>
      <c r="H68" s="63">
        <f>'[29]РеалВсего (с ТДЦ)'!E95</f>
        <v>440215</v>
      </c>
      <c r="I68" s="63">
        <f>185774/2*3</f>
        <v>278661</v>
      </c>
      <c r="J68" s="44"/>
      <c r="K68" s="64"/>
      <c r="L68" s="62" t="s">
        <v>228</v>
      </c>
      <c r="S68" s="62" t="s">
        <v>228</v>
      </c>
    </row>
    <row r="69" spans="1:19">
      <c r="A69" s="96" t="s">
        <v>74</v>
      </c>
      <c r="B69" s="54">
        <f t="shared" si="11"/>
        <v>1856411.5</v>
      </c>
      <c r="C69" s="54">
        <f t="shared" si="12"/>
        <v>2008835.2711800002</v>
      </c>
      <c r="D69" s="63">
        <f>[25]РеалПрод!C96+[26]Свод!C96</f>
        <v>385050.5</v>
      </c>
      <c r="E69" s="63">
        <v>987887.77118000004</v>
      </c>
      <c r="F69" s="63">
        <v>459029.5</v>
      </c>
      <c r="G69" s="63">
        <v>757165</v>
      </c>
      <c r="H69" s="63">
        <f>'[29]РеалВсего (с ТДЦ)'!E96</f>
        <v>1012331.5</v>
      </c>
      <c r="I69" s="63">
        <f>175855/2*3</f>
        <v>263782.5</v>
      </c>
      <c r="J69" s="44"/>
      <c r="K69" s="64"/>
      <c r="L69" s="62" t="s">
        <v>229</v>
      </c>
      <c r="S69" s="62" t="s">
        <v>229</v>
      </c>
    </row>
    <row r="70" spans="1:19">
      <c r="A70" s="96" t="s">
        <v>75</v>
      </c>
      <c r="B70" s="54">
        <f t="shared" si="11"/>
        <v>176506</v>
      </c>
      <c r="C70" s="54">
        <f t="shared" si="12"/>
        <v>130516.5</v>
      </c>
      <c r="D70" s="63">
        <f>[25]РеалПрод!C97+[26]Свод!C97</f>
        <v>44535</v>
      </c>
      <c r="E70" s="63"/>
      <c r="F70" s="63">
        <v>59897</v>
      </c>
      <c r="G70" s="63"/>
      <c r="H70" s="63">
        <f>'[29]РеалВсего (с ТДЦ)'!E97</f>
        <v>72074</v>
      </c>
      <c r="I70" s="63">
        <f>87011/2*3</f>
        <v>130516.5</v>
      </c>
      <c r="J70" s="44"/>
      <c r="K70" s="64"/>
      <c r="L70" s="62" t="s">
        <v>230</v>
      </c>
      <c r="S70" s="62" t="s">
        <v>230</v>
      </c>
    </row>
    <row r="71" spans="1:19" ht="25.5">
      <c r="A71" s="96" t="s">
        <v>76</v>
      </c>
      <c r="B71" s="54">
        <f t="shared" si="11"/>
        <v>64029</v>
      </c>
      <c r="C71" s="54">
        <f t="shared" si="12"/>
        <v>0</v>
      </c>
      <c r="D71" s="63">
        <f>[25]РеалПрод!C98+[26]Свод!C98</f>
        <v>21343</v>
      </c>
      <c r="E71" s="63"/>
      <c r="F71" s="63">
        <v>21343</v>
      </c>
      <c r="G71" s="63"/>
      <c r="H71" s="63">
        <f>'[29]РеалВсего (с ТДЦ)'!E98</f>
        <v>21343</v>
      </c>
      <c r="I71" s="63"/>
      <c r="J71" s="44"/>
      <c r="K71" s="64"/>
      <c r="L71" s="62" t="s">
        <v>231</v>
      </c>
      <c r="S71" s="62" t="s">
        <v>231</v>
      </c>
    </row>
    <row r="72" spans="1:19" ht="15" customHeight="1">
      <c r="A72" s="96" t="s">
        <v>77</v>
      </c>
      <c r="B72" s="54">
        <f t="shared" si="11"/>
        <v>0</v>
      </c>
      <c r="C72" s="54">
        <f t="shared" si="12"/>
        <v>0</v>
      </c>
      <c r="D72" s="63">
        <f>[25]РеалПрод!C99</f>
        <v>0</v>
      </c>
      <c r="E72" s="63"/>
      <c r="F72" s="63"/>
      <c r="G72" s="63"/>
      <c r="H72" s="63">
        <f>'[29]РеалВсего (с ТДЦ)'!E99</f>
        <v>0</v>
      </c>
      <c r="I72" s="63"/>
      <c r="J72" s="44"/>
      <c r="K72" s="64"/>
      <c r="L72" s="62" t="s">
        <v>232</v>
      </c>
      <c r="S72" s="62" t="s">
        <v>232</v>
      </c>
    </row>
    <row r="73" spans="1:19">
      <c r="A73" s="96" t="s">
        <v>78</v>
      </c>
      <c r="B73" s="54">
        <f t="shared" si="11"/>
        <v>0</v>
      </c>
      <c r="C73" s="54">
        <f t="shared" si="12"/>
        <v>0</v>
      </c>
      <c r="D73" s="63">
        <f>[25]РеалПрод!C100+[26]Свод!C99</f>
        <v>0</v>
      </c>
      <c r="E73" s="63"/>
      <c r="F73" s="63"/>
      <c r="G73" s="63"/>
      <c r="H73" s="63">
        <f>'[29]РеалВсего (с ТДЦ)'!E100</f>
        <v>0</v>
      </c>
      <c r="I73" s="63"/>
      <c r="J73" s="44"/>
      <c r="K73" s="64"/>
      <c r="L73" s="62" t="s">
        <v>233</v>
      </c>
      <c r="S73" s="62" t="s">
        <v>233</v>
      </c>
    </row>
    <row r="74" spans="1:19" ht="25.5" customHeight="1" outlineLevel="1">
      <c r="A74" s="96" t="s">
        <v>144</v>
      </c>
      <c r="B74" s="54">
        <f t="shared" si="11"/>
        <v>0</v>
      </c>
      <c r="C74" s="54">
        <f t="shared" si="12"/>
        <v>0</v>
      </c>
      <c r="D74" s="63">
        <f>[25]РеалПрод!C101+[26]Свод!C100</f>
        <v>0</v>
      </c>
      <c r="E74" s="63"/>
      <c r="F74" s="63"/>
      <c r="G74" s="63"/>
      <c r="H74" s="63">
        <f>'[29]РеалВсего (с ТДЦ)'!E101</f>
        <v>0</v>
      </c>
      <c r="I74" s="63"/>
      <c r="J74" s="44"/>
      <c r="K74" s="64"/>
      <c r="L74" s="62" t="s">
        <v>234</v>
      </c>
      <c r="S74" s="62" t="s">
        <v>234</v>
      </c>
    </row>
    <row r="75" spans="1:19" ht="17.25" customHeight="1" outlineLevel="1">
      <c r="A75" s="96" t="s">
        <v>362</v>
      </c>
      <c r="B75" s="54">
        <f t="shared" ref="B75:B84" si="14">D75+F75+H75+J75</f>
        <v>1700358</v>
      </c>
      <c r="C75" s="54">
        <f t="shared" ref="C75:C84" si="15">E75+G75+I75+K75</f>
        <v>290223.09573</v>
      </c>
      <c r="D75" s="63">
        <f>[25]РеалПрод!C102+[26]Свод!C101</f>
        <v>85176</v>
      </c>
      <c r="E75" s="63">
        <v>171848.09573</v>
      </c>
      <c r="F75" s="63">
        <v>1615182</v>
      </c>
      <c r="G75" s="63">
        <f>51456+196</f>
        <v>51652</v>
      </c>
      <c r="H75" s="63">
        <f>'[29]РеалВсего (с ТДЦ)'!E102</f>
        <v>0</v>
      </c>
      <c r="I75" s="63">
        <f>44482/2*3</f>
        <v>66723</v>
      </c>
      <c r="J75" s="44"/>
      <c r="K75" s="64"/>
      <c r="L75" s="62" t="s">
        <v>338</v>
      </c>
      <c r="S75" s="62" t="s">
        <v>338</v>
      </c>
    </row>
    <row r="76" spans="1:19">
      <c r="A76" s="96" t="s">
        <v>79</v>
      </c>
      <c r="B76" s="54">
        <f t="shared" si="14"/>
        <v>2746100</v>
      </c>
      <c r="C76" s="54">
        <f t="shared" si="15"/>
        <v>0</v>
      </c>
      <c r="D76" s="63">
        <f>[25]РеалПрод!C103+[26]Свод!C103</f>
        <v>1680544</v>
      </c>
      <c r="E76" s="63"/>
      <c r="F76" s="63"/>
      <c r="G76" s="63"/>
      <c r="H76" s="63">
        <f>'[29]РеалВсего (с ТДЦ)'!E103</f>
        <v>1065556</v>
      </c>
      <c r="I76" s="63"/>
      <c r="J76" s="44"/>
      <c r="K76" s="64"/>
      <c r="L76" s="62" t="s">
        <v>235</v>
      </c>
      <c r="S76" s="62" t="s">
        <v>235</v>
      </c>
    </row>
    <row r="77" spans="1:19" ht="24.75" customHeight="1">
      <c r="A77" s="96" t="s">
        <v>80</v>
      </c>
      <c r="B77" s="54">
        <f t="shared" si="14"/>
        <v>17847</v>
      </c>
      <c r="C77" s="54">
        <f t="shared" si="15"/>
        <v>462304.56943000003</v>
      </c>
      <c r="D77" s="63">
        <f>D78+D79+D80</f>
        <v>0</v>
      </c>
      <c r="E77" s="63">
        <v>165891.56943</v>
      </c>
      <c r="F77" s="63">
        <v>17847</v>
      </c>
      <c r="G77" s="63">
        <v>151801</v>
      </c>
      <c r="H77" s="63">
        <f>'[29]РеалВсего (с ТДЦ)'!E104</f>
        <v>0</v>
      </c>
      <c r="I77" s="63">
        <f>96408/2*3</f>
        <v>144612</v>
      </c>
      <c r="J77" s="63"/>
      <c r="K77" s="63"/>
      <c r="L77" s="62" t="s">
        <v>236</v>
      </c>
      <c r="S77" s="62" t="s">
        <v>236</v>
      </c>
    </row>
    <row r="78" spans="1:19" outlineLevel="1">
      <c r="A78" s="96" t="s">
        <v>145</v>
      </c>
      <c r="B78" s="54">
        <f t="shared" si="14"/>
        <v>0</v>
      </c>
      <c r="C78" s="54">
        <f t="shared" si="15"/>
        <v>0</v>
      </c>
      <c r="D78" s="63">
        <f>[25]РеалПрод!C105</f>
        <v>0</v>
      </c>
      <c r="E78" s="63"/>
      <c r="F78" s="63"/>
      <c r="G78" s="63"/>
      <c r="H78" s="63">
        <f>'[29]РеалВсего (с ТДЦ)'!E105</f>
        <v>0</v>
      </c>
      <c r="I78" s="63"/>
      <c r="J78" s="44"/>
      <c r="K78" s="64"/>
      <c r="L78" s="62" t="s">
        <v>237</v>
      </c>
      <c r="S78" s="62" t="s">
        <v>237</v>
      </c>
    </row>
    <row r="79" spans="1:19" ht="51" outlineLevel="1">
      <c r="A79" s="96" t="s">
        <v>359</v>
      </c>
      <c r="B79" s="54">
        <f t="shared" si="14"/>
        <v>0</v>
      </c>
      <c r="C79" s="54">
        <f t="shared" si="15"/>
        <v>4456.1150200000002</v>
      </c>
      <c r="D79" s="63">
        <f>[25]РеалПрод!C106</f>
        <v>0</v>
      </c>
      <c r="E79" s="63">
        <v>2420.1150200000002</v>
      </c>
      <c r="F79" s="63"/>
      <c r="G79" s="63">
        <v>2036</v>
      </c>
      <c r="H79" s="63">
        <f>'[29]РеалВсего (с ТДЦ)'!E106</f>
        <v>0</v>
      </c>
      <c r="I79" s="63"/>
      <c r="J79" s="44"/>
      <c r="K79" s="64"/>
      <c r="L79" s="62" t="s">
        <v>337</v>
      </c>
      <c r="S79" s="62" t="s">
        <v>337</v>
      </c>
    </row>
    <row r="80" spans="1:19">
      <c r="A80" s="96" t="s">
        <v>81</v>
      </c>
      <c r="B80" s="54">
        <f t="shared" si="14"/>
        <v>0</v>
      </c>
      <c r="C80" s="54">
        <f t="shared" si="15"/>
        <v>0</v>
      </c>
      <c r="D80" s="63">
        <f>[25]РеалПрод!C107</f>
        <v>0</v>
      </c>
      <c r="E80" s="63"/>
      <c r="F80" s="63"/>
      <c r="G80" s="63"/>
      <c r="H80" s="63">
        <f>'[29]РеалВсего (с ТДЦ)'!E107</f>
        <v>0</v>
      </c>
      <c r="I80" s="63"/>
      <c r="J80" s="44"/>
      <c r="K80" s="64"/>
      <c r="L80" s="62" t="s">
        <v>238</v>
      </c>
      <c r="S80" s="62" t="s">
        <v>238</v>
      </c>
    </row>
    <row r="81" spans="1:19" outlineLevel="1">
      <c r="A81" s="96" t="s">
        <v>360</v>
      </c>
      <c r="B81" s="54">
        <f t="shared" si="14"/>
        <v>0</v>
      </c>
      <c r="C81" s="54">
        <f t="shared" si="15"/>
        <v>6885982.6123500001</v>
      </c>
      <c r="D81" s="63">
        <f>[25]РеалПрод!C108</f>
        <v>0</v>
      </c>
      <c r="E81" s="63">
        <v>2171704.1123500001</v>
      </c>
      <c r="F81" s="63"/>
      <c r="G81" s="63">
        <v>2457059</v>
      </c>
      <c r="H81" s="63">
        <f>'[29]РеалВсего (с ТДЦ)'!E108</f>
        <v>0</v>
      </c>
      <c r="I81" s="63">
        <f>1504813/2*3</f>
        <v>2257219.5</v>
      </c>
      <c r="J81" s="63"/>
      <c r="K81" s="63"/>
      <c r="L81" s="62" t="s">
        <v>336</v>
      </c>
      <c r="S81" s="62" t="s">
        <v>336</v>
      </c>
    </row>
    <row r="82" spans="1:19" outlineLevel="1">
      <c r="A82" s="12" t="s">
        <v>146</v>
      </c>
      <c r="B82" s="54">
        <f t="shared" si="14"/>
        <v>0</v>
      </c>
      <c r="C82" s="54">
        <f t="shared" si="15"/>
        <v>0</v>
      </c>
      <c r="D82" s="76">
        <f>[25]РеалПрод!C109+[26]Свод!C105</f>
        <v>0</v>
      </c>
      <c r="E82" s="76"/>
      <c r="F82" s="76"/>
      <c r="G82" s="63"/>
      <c r="H82" s="63">
        <f>'[29]РеалВсего (с ТДЦ)'!E109</f>
        <v>0</v>
      </c>
      <c r="I82" s="63"/>
      <c r="J82" s="44"/>
      <c r="K82" s="64"/>
      <c r="L82" s="75" t="s">
        <v>239</v>
      </c>
      <c r="S82" s="75" t="s">
        <v>239</v>
      </c>
    </row>
    <row r="83" spans="1:19">
      <c r="A83" s="12" t="s">
        <v>82</v>
      </c>
      <c r="B83" s="54">
        <f t="shared" si="14"/>
        <v>0</v>
      </c>
      <c r="C83" s="54">
        <f t="shared" si="15"/>
        <v>1251.50497</v>
      </c>
      <c r="D83" s="63">
        <f>[25]РеалПрод!C110+[26]Свод!C107</f>
        <v>0</v>
      </c>
      <c r="E83" s="63">
        <v>632.50496999999996</v>
      </c>
      <c r="F83" s="63"/>
      <c r="G83" s="63">
        <v>619</v>
      </c>
      <c r="H83" s="63">
        <f>'[29]РеалВсего (с ТДЦ)'!E110</f>
        <v>0</v>
      </c>
      <c r="I83" s="63"/>
      <c r="J83" s="44"/>
      <c r="K83" s="64"/>
      <c r="L83" s="62" t="s">
        <v>240</v>
      </c>
      <c r="S83" s="62" t="s">
        <v>240</v>
      </c>
    </row>
    <row r="84" spans="1:19" outlineLevel="1">
      <c r="A84" s="12" t="s">
        <v>147</v>
      </c>
      <c r="B84" s="54">
        <f t="shared" si="14"/>
        <v>0</v>
      </c>
      <c r="C84" s="54">
        <f t="shared" si="15"/>
        <v>0</v>
      </c>
      <c r="D84" s="63">
        <f>[25]РеалПрод!C111+[26]Свод!C107</f>
        <v>0</v>
      </c>
      <c r="E84" s="63"/>
      <c r="F84" s="63"/>
      <c r="G84" s="63"/>
      <c r="H84" s="63">
        <f>'[29]РеалВсего (с ТДЦ)'!E111</f>
        <v>0</v>
      </c>
      <c r="I84" s="63"/>
      <c r="J84" s="44"/>
      <c r="K84" s="64"/>
      <c r="L84" s="62" t="s">
        <v>241</v>
      </c>
      <c r="N84" s="57"/>
      <c r="S84" s="62" t="s">
        <v>241</v>
      </c>
    </row>
    <row r="85" spans="1:19" ht="12.75" customHeight="1" thickBot="1">
      <c r="A85" s="17"/>
      <c r="B85" s="106"/>
      <c r="C85" s="78"/>
      <c r="D85" s="78"/>
      <c r="E85" s="78"/>
      <c r="F85" s="78"/>
      <c r="G85" s="78"/>
      <c r="H85" s="78"/>
      <c r="I85" s="78"/>
      <c r="J85" s="78"/>
      <c r="K85" s="79"/>
      <c r="L85" s="77"/>
      <c r="M85" s="3"/>
      <c r="S85" s="77"/>
    </row>
    <row r="86" spans="1:19" ht="29.25" thickBot="1">
      <c r="A86" s="18" t="s">
        <v>13</v>
      </c>
      <c r="B86" s="107">
        <f>D86+F86+H86+J86</f>
        <v>1030791761.5</v>
      </c>
      <c r="C86" s="109">
        <f>E86+G86+I86+K86</f>
        <v>870366610.82977998</v>
      </c>
      <c r="D86" s="110">
        <f>D87+D29</f>
        <v>280605527</v>
      </c>
      <c r="E86" s="110">
        <f>E87+E29</f>
        <v>243994309.32977998</v>
      </c>
      <c r="F86" s="110">
        <f t="shared" ref="F86:G86" si="16">F87+F29</f>
        <v>368812047</v>
      </c>
      <c r="G86" s="110">
        <f t="shared" si="16"/>
        <v>291102347</v>
      </c>
      <c r="H86" s="110">
        <f t="shared" ref="H86:I86" si="17">H87+H29</f>
        <v>381374187.5</v>
      </c>
      <c r="I86" s="110">
        <f t="shared" si="17"/>
        <v>335269954.5</v>
      </c>
      <c r="J86" s="47"/>
      <c r="K86" s="81"/>
      <c r="L86" s="80" t="s">
        <v>13</v>
      </c>
      <c r="M86" s="3"/>
      <c r="N86" s="3"/>
      <c r="O86" s="3"/>
      <c r="P86" s="3"/>
      <c r="S86" s="80" t="s">
        <v>13</v>
      </c>
    </row>
    <row r="87" spans="1:19" ht="15" customHeight="1" outlineLevel="1" thickBot="1">
      <c r="A87" s="19" t="s">
        <v>14</v>
      </c>
      <c r="B87" s="108">
        <f>D87+F87+H87+J87</f>
        <v>1030158862.5</v>
      </c>
      <c r="C87" s="107">
        <f>E87+G87+I87+K87</f>
        <v>870151064.83887994</v>
      </c>
      <c r="D87" s="111">
        <f>SUM(D12,D23,D26,D28,D30,D34:D38)</f>
        <v>280249384</v>
      </c>
      <c r="E87" s="110">
        <f>SUM(E12,E23,E26,E28,E30,E34:E38)</f>
        <v>243861970.83887997</v>
      </c>
      <c r="F87" s="111">
        <f t="shared" ref="F87:G87" si="18">SUM(F12,F23,F26,F28,F30,F34:F38)</f>
        <v>368622334</v>
      </c>
      <c r="G87" s="110">
        <f t="shared" si="18"/>
        <v>291050695</v>
      </c>
      <c r="H87" s="111">
        <f t="shared" ref="H87:I87" si="19">SUM(H12,H23,H26,H28,H30,H34:H38)</f>
        <v>381287144.5</v>
      </c>
      <c r="I87" s="110">
        <f t="shared" si="19"/>
        <v>335238399</v>
      </c>
      <c r="J87" s="48"/>
      <c r="K87" s="83"/>
      <c r="L87" s="82" t="s">
        <v>14</v>
      </c>
      <c r="M87" s="3"/>
      <c r="N87" s="3"/>
      <c r="O87" s="3"/>
      <c r="S87" s="82" t="s">
        <v>14</v>
      </c>
    </row>
    <row r="88" spans="1:19" ht="11.25" customHeight="1">
      <c r="A88" s="20"/>
      <c r="B88" s="53"/>
      <c r="C88" s="85"/>
      <c r="D88" s="86"/>
      <c r="E88" s="86"/>
      <c r="F88" s="86"/>
      <c r="G88" s="86"/>
      <c r="H88" s="86"/>
      <c r="I88" s="86"/>
      <c r="J88" s="86"/>
      <c r="K88" s="86"/>
      <c r="L88" s="84"/>
      <c r="M88" s="3"/>
      <c r="N88" s="3"/>
      <c r="O88" s="3"/>
      <c r="S88" s="84"/>
    </row>
    <row r="89" spans="1:19" ht="12.75" customHeight="1">
      <c r="A89" s="21" t="s">
        <v>83</v>
      </c>
      <c r="B89" s="54">
        <f>D89+F89+H89+J89</f>
        <v>167330236.06</v>
      </c>
      <c r="C89" s="54">
        <f t="shared" ref="C89:C120" si="20">E89+G89+I89+K89</f>
        <v>231205963.77841002</v>
      </c>
      <c r="D89" s="88">
        <f t="shared" ref="D89:I89" si="21">D90+D107+D143+D193</f>
        <v>51800244.460000001</v>
      </c>
      <c r="E89" s="88">
        <f t="shared" si="21"/>
        <v>63617785.778410003</v>
      </c>
      <c r="F89" s="88">
        <f t="shared" si="21"/>
        <v>55940273.700000003</v>
      </c>
      <c r="G89" s="88">
        <f t="shared" si="21"/>
        <v>87222126</v>
      </c>
      <c r="H89" s="88">
        <f t="shared" si="21"/>
        <v>59589717.900000006</v>
      </c>
      <c r="I89" s="88">
        <f t="shared" si="21"/>
        <v>80366052</v>
      </c>
      <c r="J89" s="49"/>
      <c r="K89" s="89"/>
      <c r="L89" s="87" t="s">
        <v>242</v>
      </c>
      <c r="M89" s="3"/>
      <c r="N89" s="3"/>
      <c r="O89" s="3"/>
      <c r="S89" s="87" t="s">
        <v>242</v>
      </c>
    </row>
    <row r="90" spans="1:19">
      <c r="A90" s="11" t="s">
        <v>84</v>
      </c>
      <c r="B90" s="54">
        <f t="shared" ref="B90:B120" si="22">D90+F90+H90+J90</f>
        <v>5480595.0800000001</v>
      </c>
      <c r="C90" s="54">
        <f t="shared" si="20"/>
        <v>8726402.75141</v>
      </c>
      <c r="D90" s="70">
        <f t="shared" ref="D90:I90" si="23">SUM(D91:D95)</f>
        <v>1756159.96</v>
      </c>
      <c r="E90" s="70">
        <f t="shared" si="23"/>
        <v>2573493.75141</v>
      </c>
      <c r="F90" s="70">
        <f t="shared" si="23"/>
        <v>1756161.96</v>
      </c>
      <c r="G90" s="70">
        <f t="shared" si="23"/>
        <v>3572045</v>
      </c>
      <c r="H90" s="70">
        <f t="shared" si="23"/>
        <v>1968273.16</v>
      </c>
      <c r="I90" s="70">
        <f t="shared" si="23"/>
        <v>2580864</v>
      </c>
      <c r="J90" s="45"/>
      <c r="K90" s="71"/>
      <c r="L90" s="61" t="s">
        <v>243</v>
      </c>
      <c r="M90" s="3"/>
      <c r="S90" s="61" t="s">
        <v>243</v>
      </c>
    </row>
    <row r="91" spans="1:19" ht="25.5">
      <c r="A91" s="12" t="s">
        <v>85</v>
      </c>
      <c r="B91" s="54">
        <f t="shared" si="22"/>
        <v>5213835.08</v>
      </c>
      <c r="C91" s="54">
        <f t="shared" si="20"/>
        <v>2206389.4679999999</v>
      </c>
      <c r="D91" s="63">
        <f>[25]РеалПрод!C120</f>
        <v>1667239.96</v>
      </c>
      <c r="E91" s="63">
        <v>527403.46799999999</v>
      </c>
      <c r="F91" s="63">
        <v>1667241.96</v>
      </c>
      <c r="G91" s="63">
        <v>1519038</v>
      </c>
      <c r="H91" s="63">
        <v>1879353.16</v>
      </c>
      <c r="I91" s="63">
        <f>106632/2*3</f>
        <v>159948</v>
      </c>
      <c r="J91" s="44"/>
      <c r="K91" s="64"/>
      <c r="L91" s="62" t="s">
        <v>244</v>
      </c>
      <c r="M91" s="3"/>
      <c r="N91" s="3"/>
      <c r="O91" s="3"/>
      <c r="S91" s="62" t="s">
        <v>244</v>
      </c>
    </row>
    <row r="92" spans="1:19" outlineLevel="1">
      <c r="A92" s="12" t="s">
        <v>148</v>
      </c>
      <c r="B92" s="54">
        <f t="shared" si="22"/>
        <v>0</v>
      </c>
      <c r="C92" s="54">
        <f t="shared" si="20"/>
        <v>0</v>
      </c>
      <c r="D92" s="63">
        <f>'[25]РеалПрод (с ТДЦ)'!C121</f>
        <v>0</v>
      </c>
      <c r="E92" s="63"/>
      <c r="F92" s="63">
        <v>0</v>
      </c>
      <c r="G92" s="63"/>
      <c r="H92" s="63">
        <v>0</v>
      </c>
      <c r="I92" s="63"/>
      <c r="J92" s="44"/>
      <c r="K92" s="64"/>
      <c r="L92" s="62" t="s">
        <v>245</v>
      </c>
      <c r="S92" s="62" t="s">
        <v>245</v>
      </c>
    </row>
    <row r="93" spans="1:19" outlineLevel="1">
      <c r="A93" s="12" t="s">
        <v>149</v>
      </c>
      <c r="B93" s="54">
        <f t="shared" si="22"/>
        <v>0</v>
      </c>
      <c r="C93" s="54">
        <f t="shared" si="20"/>
        <v>16688</v>
      </c>
      <c r="D93" s="63">
        <f>'[25]РеалПрод (с ТДЦ)'!C122</f>
        <v>0</v>
      </c>
      <c r="E93" s="63"/>
      <c r="F93" s="63">
        <v>0</v>
      </c>
      <c r="G93" s="63">
        <v>16688</v>
      </c>
      <c r="H93" s="63">
        <v>0</v>
      </c>
      <c r="I93" s="63"/>
      <c r="J93" s="44"/>
      <c r="K93" s="64"/>
      <c r="L93" s="62" t="s">
        <v>246</v>
      </c>
      <c r="S93" s="62" t="s">
        <v>246</v>
      </c>
    </row>
    <row r="94" spans="1:19" ht="21.75" customHeight="1" outlineLevel="1">
      <c r="A94" s="12" t="s">
        <v>150</v>
      </c>
      <c r="B94" s="54">
        <f t="shared" si="22"/>
        <v>0</v>
      </c>
      <c r="C94" s="54">
        <f t="shared" si="20"/>
        <v>6774</v>
      </c>
      <c r="D94" s="63">
        <f>'[25]РеалПрод (с ТДЦ)'!C123</f>
        <v>0</v>
      </c>
      <c r="E94" s="63"/>
      <c r="F94" s="63">
        <v>0</v>
      </c>
      <c r="G94" s="63"/>
      <c r="H94" s="63">
        <v>0</v>
      </c>
      <c r="I94" s="63">
        <f>4516/2*3</f>
        <v>6774</v>
      </c>
      <c r="J94" s="44"/>
      <c r="K94" s="64"/>
      <c r="L94" s="62" t="s">
        <v>247</v>
      </c>
      <c r="O94" s="3"/>
      <c r="S94" s="62" t="s">
        <v>247</v>
      </c>
    </row>
    <row r="95" spans="1:19" ht="12.75" customHeight="1">
      <c r="A95" s="12" t="s">
        <v>86</v>
      </c>
      <c r="B95" s="54">
        <f t="shared" si="22"/>
        <v>266760</v>
      </c>
      <c r="C95" s="54">
        <f t="shared" si="20"/>
        <v>6496551.2834099997</v>
      </c>
      <c r="D95" s="63">
        <f>SUM(D96:D106)</f>
        <v>88920</v>
      </c>
      <c r="E95" s="63">
        <f>SUM(E96:E106)</f>
        <v>2046090.2834100001</v>
      </c>
      <c r="F95" s="63">
        <v>88920</v>
      </c>
      <c r="G95" s="63">
        <f t="shared" ref="G95:I95" si="24">SUM(G96:G106)</f>
        <v>2036319</v>
      </c>
      <c r="H95" s="63">
        <f t="shared" si="24"/>
        <v>88920</v>
      </c>
      <c r="I95" s="63">
        <f t="shared" si="24"/>
        <v>2414142</v>
      </c>
      <c r="J95" s="44"/>
      <c r="K95" s="64"/>
      <c r="L95" s="62" t="s">
        <v>248</v>
      </c>
      <c r="S95" s="62" t="s">
        <v>248</v>
      </c>
    </row>
    <row r="96" spans="1:19" ht="12.75" customHeight="1" outlineLevel="1">
      <c r="A96" s="12" t="s">
        <v>151</v>
      </c>
      <c r="B96" s="54">
        <f t="shared" si="22"/>
        <v>0</v>
      </c>
      <c r="C96" s="54">
        <f t="shared" si="20"/>
        <v>4398203.7784099998</v>
      </c>
      <c r="D96" s="63">
        <f>[25]РеалПрод!C125</f>
        <v>0</v>
      </c>
      <c r="E96" s="63">
        <v>1438546.27841</v>
      </c>
      <c r="F96" s="63">
        <v>0</v>
      </c>
      <c r="G96" s="63">
        <v>1340484</v>
      </c>
      <c r="H96" s="63">
        <v>0</v>
      </c>
      <c r="I96" s="63">
        <f>1079449/2*3</f>
        <v>1619173.5</v>
      </c>
      <c r="J96" s="44"/>
      <c r="K96" s="64"/>
      <c r="L96" s="62" t="s">
        <v>249</v>
      </c>
      <c r="S96" s="62" t="s">
        <v>249</v>
      </c>
    </row>
    <row r="97" spans="1:19" ht="12.75" customHeight="1" outlineLevel="1">
      <c r="A97" s="12" t="s">
        <v>152</v>
      </c>
      <c r="B97" s="54">
        <f t="shared" si="22"/>
        <v>0</v>
      </c>
      <c r="C97" s="54">
        <f t="shared" si="20"/>
        <v>527784.55342000001</v>
      </c>
      <c r="D97" s="63">
        <f>[25]РеалПрод!C126</f>
        <v>0</v>
      </c>
      <c r="E97" s="63">
        <v>172625.55342000001</v>
      </c>
      <c r="F97" s="63">
        <v>0</v>
      </c>
      <c r="G97" s="63">
        <v>160858</v>
      </c>
      <c r="H97" s="63">
        <v>0</v>
      </c>
      <c r="I97" s="63">
        <f>129534/2*3</f>
        <v>194301</v>
      </c>
      <c r="J97" s="44"/>
      <c r="K97" s="64"/>
      <c r="L97" s="62" t="s">
        <v>250</v>
      </c>
      <c r="S97" s="62" t="s">
        <v>250</v>
      </c>
    </row>
    <row r="98" spans="1:19" ht="12.75" customHeight="1" outlineLevel="1">
      <c r="A98" s="12" t="s">
        <v>153</v>
      </c>
      <c r="B98" s="54">
        <f t="shared" si="22"/>
        <v>0</v>
      </c>
      <c r="C98" s="54">
        <f t="shared" si="20"/>
        <v>182960.60629999998</v>
      </c>
      <c r="D98" s="63">
        <f>[25]РеалПрод!C127</f>
        <v>0</v>
      </c>
      <c r="E98" s="63">
        <v>26852.606299999999</v>
      </c>
      <c r="F98" s="63">
        <v>0</v>
      </c>
      <c r="G98" s="63">
        <v>66573</v>
      </c>
      <c r="H98" s="63">
        <v>0</v>
      </c>
      <c r="I98" s="63">
        <f>59690/2*3</f>
        <v>89535</v>
      </c>
      <c r="J98" s="44"/>
      <c r="K98" s="64"/>
      <c r="L98" s="62" t="s">
        <v>251</v>
      </c>
      <c r="S98" s="62" t="s">
        <v>251</v>
      </c>
    </row>
    <row r="99" spans="1:19" ht="12.75" customHeight="1">
      <c r="A99" s="12" t="s">
        <v>87</v>
      </c>
      <c r="B99" s="54">
        <f t="shared" si="22"/>
        <v>45000</v>
      </c>
      <c r="C99" s="54">
        <f t="shared" si="20"/>
        <v>0</v>
      </c>
      <c r="D99" s="63">
        <f>[25]РеалПрод!C128</f>
        <v>15000</v>
      </c>
      <c r="E99" s="63"/>
      <c r="F99" s="63">
        <v>15000</v>
      </c>
      <c r="G99" s="63"/>
      <c r="H99" s="63">
        <v>15000</v>
      </c>
      <c r="I99" s="63"/>
      <c r="J99" s="44"/>
      <c r="K99" s="64"/>
      <c r="L99" s="62" t="s">
        <v>252</v>
      </c>
      <c r="S99" s="62" t="s">
        <v>252</v>
      </c>
    </row>
    <row r="100" spans="1:19" ht="12.75" customHeight="1">
      <c r="A100" s="12" t="s">
        <v>88</v>
      </c>
      <c r="B100" s="54">
        <f t="shared" si="22"/>
        <v>90000</v>
      </c>
      <c r="C100" s="54">
        <f t="shared" si="20"/>
        <v>0</v>
      </c>
      <c r="D100" s="63">
        <f>[25]РеалПрод!C129</f>
        <v>30000</v>
      </c>
      <c r="E100" s="63"/>
      <c r="F100" s="63">
        <v>30000</v>
      </c>
      <c r="G100" s="63"/>
      <c r="H100" s="63">
        <v>30000</v>
      </c>
      <c r="I100" s="63"/>
      <c r="J100" s="44"/>
      <c r="K100" s="64"/>
      <c r="L100" s="62" t="s">
        <v>253</v>
      </c>
      <c r="S100" s="62" t="s">
        <v>253</v>
      </c>
    </row>
    <row r="101" spans="1:19" ht="12.75" customHeight="1">
      <c r="A101" s="12" t="s">
        <v>89</v>
      </c>
      <c r="B101" s="54">
        <f t="shared" si="22"/>
        <v>131760</v>
      </c>
      <c r="C101" s="54">
        <f t="shared" si="20"/>
        <v>511512.99527000001</v>
      </c>
      <c r="D101" s="63">
        <f>[25]РеалПрод!C130</f>
        <v>43920</v>
      </c>
      <c r="E101" s="63">
        <v>182696.49527000001</v>
      </c>
      <c r="F101" s="63">
        <v>43920</v>
      </c>
      <c r="G101" s="63">
        <v>182154</v>
      </c>
      <c r="H101" s="63">
        <v>43920</v>
      </c>
      <c r="I101" s="63">
        <f>97775/2*3</f>
        <v>146662.5</v>
      </c>
      <c r="J101" s="44"/>
      <c r="K101" s="64"/>
      <c r="L101" s="62" t="s">
        <v>254</v>
      </c>
      <c r="S101" s="62" t="s">
        <v>254</v>
      </c>
    </row>
    <row r="102" spans="1:19" ht="12.75" customHeight="1" outlineLevel="1">
      <c r="A102" s="12" t="s">
        <v>90</v>
      </c>
      <c r="B102" s="54">
        <f t="shared" si="22"/>
        <v>0</v>
      </c>
      <c r="C102" s="54">
        <f t="shared" si="20"/>
        <v>0</v>
      </c>
      <c r="D102" s="63">
        <f>[25]РеалПрод!C131</f>
        <v>0</v>
      </c>
      <c r="E102" s="63"/>
      <c r="F102" s="63"/>
      <c r="G102" s="63"/>
      <c r="H102" s="63">
        <v>0</v>
      </c>
      <c r="I102" s="63"/>
      <c r="J102" s="44"/>
      <c r="K102" s="64"/>
      <c r="L102" s="62" t="s">
        <v>255</v>
      </c>
      <c r="S102" s="62" t="s">
        <v>255</v>
      </c>
    </row>
    <row r="103" spans="1:19" ht="12.75" customHeight="1" outlineLevel="1">
      <c r="A103" s="12" t="s">
        <v>91</v>
      </c>
      <c r="B103" s="54">
        <f t="shared" si="22"/>
        <v>0</v>
      </c>
      <c r="C103" s="54">
        <f t="shared" si="20"/>
        <v>389860.22996000003</v>
      </c>
      <c r="D103" s="63">
        <f>[25]РеалПрод!C132</f>
        <v>0</v>
      </c>
      <c r="E103" s="63">
        <v>91016.729959999997</v>
      </c>
      <c r="F103" s="63"/>
      <c r="G103" s="63">
        <v>125172</v>
      </c>
      <c r="H103" s="63">
        <v>0</v>
      </c>
      <c r="I103" s="63">
        <f>115781/2*3</f>
        <v>173671.5</v>
      </c>
      <c r="J103" s="44"/>
      <c r="K103" s="64"/>
      <c r="L103" s="62" t="s">
        <v>256</v>
      </c>
      <c r="S103" s="62" t="s">
        <v>256</v>
      </c>
    </row>
    <row r="104" spans="1:19" ht="12.75" customHeight="1" outlineLevel="1">
      <c r="A104" s="12" t="s">
        <v>92</v>
      </c>
      <c r="B104" s="54">
        <f t="shared" si="22"/>
        <v>0</v>
      </c>
      <c r="C104" s="54">
        <f t="shared" si="20"/>
        <v>486229.12005000003</v>
      </c>
      <c r="D104" s="63">
        <f>[25]РеалПрод!C133</f>
        <v>0</v>
      </c>
      <c r="E104" s="63">
        <v>134352.62005</v>
      </c>
      <c r="F104" s="63"/>
      <c r="G104" s="63">
        <v>161078</v>
      </c>
      <c r="H104" s="63">
        <v>0</v>
      </c>
      <c r="I104" s="63">
        <f>127199/2*3</f>
        <v>190798.5</v>
      </c>
      <c r="J104" s="44"/>
      <c r="K104" s="64"/>
      <c r="L104" s="62" t="s">
        <v>257</v>
      </c>
      <c r="S104" s="62" t="s">
        <v>257</v>
      </c>
    </row>
    <row r="105" spans="1:19" ht="12.75" customHeight="1" outlineLevel="1">
      <c r="A105" s="12" t="s">
        <v>93</v>
      </c>
      <c r="B105" s="54">
        <f t="shared" si="22"/>
        <v>0</v>
      </c>
      <c r="C105" s="54">
        <f t="shared" si="20"/>
        <v>0</v>
      </c>
      <c r="D105" s="63">
        <f>[25]РеалПрод!C134</f>
        <v>0</v>
      </c>
      <c r="E105" s="63"/>
      <c r="F105" s="63"/>
      <c r="G105" s="63"/>
      <c r="H105" s="63">
        <v>0</v>
      </c>
      <c r="I105" s="63"/>
      <c r="J105" s="44"/>
      <c r="K105" s="64"/>
      <c r="L105" s="62" t="s">
        <v>258</v>
      </c>
      <c r="S105" s="62" t="s">
        <v>258</v>
      </c>
    </row>
    <row r="106" spans="1:19" ht="12.75" customHeight="1" outlineLevel="1" thickBot="1">
      <c r="A106" s="12" t="s">
        <v>94</v>
      </c>
      <c r="B106" s="54">
        <f t="shared" si="22"/>
        <v>0</v>
      </c>
      <c r="C106" s="54">
        <f t="shared" si="20"/>
        <v>0</v>
      </c>
      <c r="D106" s="63">
        <f>[25]РеалПрод!C135</f>
        <v>0</v>
      </c>
      <c r="E106" s="63"/>
      <c r="F106" s="63"/>
      <c r="G106" s="63"/>
      <c r="H106" s="63">
        <v>0</v>
      </c>
      <c r="I106" s="63"/>
      <c r="J106" s="44"/>
      <c r="K106" s="64"/>
      <c r="L106" s="62" t="s">
        <v>259</v>
      </c>
      <c r="S106" s="62" t="s">
        <v>259</v>
      </c>
    </row>
    <row r="107" spans="1:19" ht="12.75" customHeight="1" thickBot="1">
      <c r="A107" s="11" t="s">
        <v>95</v>
      </c>
      <c r="B107" s="54">
        <f t="shared" si="22"/>
        <v>54799685.980000004</v>
      </c>
      <c r="C107" s="54">
        <f t="shared" si="20"/>
        <v>56136466.777240001</v>
      </c>
      <c r="D107" s="90">
        <f>SUM(D108:D109,D110:D111,D117:D119,D123:D125,D137:D142)</f>
        <v>18059327.5</v>
      </c>
      <c r="E107" s="90">
        <f>SUM(E108:E109,E110:E111,E117:E119,E123:E125,E137:E142)</f>
        <v>11995152.777240001</v>
      </c>
      <c r="F107" s="90">
        <f t="shared" ref="F107:I107" si="25">SUM(F108:F109,F110:F111,F117:F119,F123:F125,F137:F142)</f>
        <v>18096911.740000002</v>
      </c>
      <c r="G107" s="90">
        <f t="shared" si="25"/>
        <v>24196717</v>
      </c>
      <c r="H107" s="90">
        <f t="shared" si="25"/>
        <v>18643446.740000002</v>
      </c>
      <c r="I107" s="90">
        <f t="shared" si="25"/>
        <v>19944597</v>
      </c>
      <c r="J107" s="90"/>
      <c r="K107" s="90"/>
      <c r="L107" s="61" t="s">
        <v>260</v>
      </c>
      <c r="M107" s="22">
        <f>G107-'[27]АО(доп.вскрыша всего)'!D139</f>
        <v>21999616</v>
      </c>
      <c r="N107" s="22">
        <f>I107-'[27]АО(доп.вскрыша всего)'!E139</f>
        <v>17770940</v>
      </c>
      <c r="O107" s="22">
        <f>K107-'[27]АО(доп.вскрыша всего)'!F139</f>
        <v>-2017261</v>
      </c>
      <c r="P107" s="2" t="s">
        <v>15</v>
      </c>
      <c r="R107" s="3">
        <f>C107-'[28]АО(доп.вскрыша всего)'!$B$139</f>
        <v>48210040.777240001</v>
      </c>
      <c r="S107" s="61" t="s">
        <v>260</v>
      </c>
    </row>
    <row r="108" spans="1:19" ht="12.75" customHeight="1">
      <c r="A108" s="12" t="s">
        <v>96</v>
      </c>
      <c r="B108" s="54">
        <f t="shared" si="22"/>
        <v>11908061</v>
      </c>
      <c r="C108" s="54">
        <f t="shared" si="20"/>
        <v>10720952.51512</v>
      </c>
      <c r="D108" s="68">
        <v>3908628</v>
      </c>
      <c r="E108" s="68">
        <v>3477465.0151200001</v>
      </c>
      <c r="F108" s="68">
        <v>3908628</v>
      </c>
      <c r="G108" s="68">
        <v>3356785</v>
      </c>
      <c r="H108" s="68">
        <v>4090805</v>
      </c>
      <c r="I108" s="63">
        <f>2591135/2*3</f>
        <v>3886702.5</v>
      </c>
      <c r="J108" s="44"/>
      <c r="K108" s="64"/>
      <c r="L108" s="62" t="s">
        <v>261</v>
      </c>
      <c r="S108" s="62" t="s">
        <v>261</v>
      </c>
    </row>
    <row r="109" spans="1:19">
      <c r="A109" s="12" t="s">
        <v>97</v>
      </c>
      <c r="B109" s="54">
        <f t="shared" si="22"/>
        <v>1428966</v>
      </c>
      <c r="C109" s="54">
        <f t="shared" si="20"/>
        <v>1286513.80051</v>
      </c>
      <c r="D109" s="63">
        <v>469035</v>
      </c>
      <c r="E109" s="63">
        <v>417295.80050999997</v>
      </c>
      <c r="F109" s="63">
        <v>469035</v>
      </c>
      <c r="G109" s="63">
        <v>402814</v>
      </c>
      <c r="H109" s="63">
        <v>490896</v>
      </c>
      <c r="I109" s="63">
        <f>310936/2*3</f>
        <v>466404</v>
      </c>
      <c r="J109" s="44"/>
      <c r="K109" s="64"/>
      <c r="L109" s="62" t="s">
        <v>262</v>
      </c>
      <c r="M109" s="3"/>
      <c r="N109" s="3"/>
      <c r="O109" s="3"/>
      <c r="S109" s="62" t="s">
        <v>262</v>
      </c>
    </row>
    <row r="110" spans="1:19" ht="12.75" customHeight="1">
      <c r="A110" s="12" t="s">
        <v>98</v>
      </c>
      <c r="B110" s="54">
        <f t="shared" si="22"/>
        <v>14122768.48</v>
      </c>
      <c r="C110" s="54">
        <f t="shared" si="20"/>
        <v>14836389.26245</v>
      </c>
      <c r="D110" s="63">
        <v>4612683</v>
      </c>
      <c r="E110" s="63">
        <f>4538987.43726-13828.17481</f>
        <v>4525159.2624500003</v>
      </c>
      <c r="F110" s="63">
        <v>4651532.24</v>
      </c>
      <c r="G110" s="63">
        <f>4782038-49704</f>
        <v>4732334</v>
      </c>
      <c r="H110" s="63">
        <v>4858553.24</v>
      </c>
      <c r="I110" s="63">
        <f>3734904/2*3-15640/2*3</f>
        <v>5578896</v>
      </c>
      <c r="J110" s="44"/>
      <c r="K110" s="64"/>
      <c r="L110" s="62" t="s">
        <v>263</v>
      </c>
      <c r="M110" s="3"/>
      <c r="N110" s="3"/>
      <c r="O110" s="3"/>
      <c r="S110" s="62" t="s">
        <v>263</v>
      </c>
    </row>
    <row r="111" spans="1:19" ht="12.75" customHeight="1">
      <c r="A111" s="12" t="s">
        <v>99</v>
      </c>
      <c r="B111" s="54">
        <f t="shared" si="22"/>
        <v>2836522</v>
      </c>
      <c r="C111" s="54">
        <f t="shared" si="20"/>
        <v>2327786.9300699998</v>
      </c>
      <c r="D111" s="63">
        <f>[25]РеалПрод!C140</f>
        <v>943084</v>
      </c>
      <c r="E111" s="70">
        <v>712294.93007</v>
      </c>
      <c r="F111" s="63">
        <v>946719</v>
      </c>
      <c r="G111" s="63">
        <v>782770</v>
      </c>
      <c r="H111" s="63">
        <v>946719</v>
      </c>
      <c r="I111" s="63">
        <f>555148/2*3</f>
        <v>832722</v>
      </c>
      <c r="J111" s="44"/>
      <c r="K111" s="64"/>
      <c r="L111" s="62" t="s">
        <v>264</v>
      </c>
      <c r="M111" s="3"/>
      <c r="N111" s="3"/>
      <c r="O111" s="3"/>
      <c r="S111" s="62" t="s">
        <v>264</v>
      </c>
    </row>
    <row r="112" spans="1:19" ht="12.75" customHeight="1" outlineLevel="1">
      <c r="A112" s="12" t="s">
        <v>154</v>
      </c>
      <c r="B112" s="54">
        <f t="shared" si="22"/>
        <v>0</v>
      </c>
      <c r="C112" s="54">
        <f t="shared" si="20"/>
        <v>0</v>
      </c>
      <c r="D112" s="70">
        <v>0</v>
      </c>
      <c r="E112" s="70"/>
      <c r="F112" s="70">
        <v>0</v>
      </c>
      <c r="G112" s="70"/>
      <c r="H112" s="70">
        <v>0</v>
      </c>
      <c r="I112" s="70"/>
      <c r="J112" s="45"/>
      <c r="K112" s="71"/>
      <c r="L112" s="61" t="s">
        <v>265</v>
      </c>
      <c r="S112" s="61" t="s">
        <v>265</v>
      </c>
    </row>
    <row r="113" spans="1:19" ht="12.75" customHeight="1" outlineLevel="1">
      <c r="A113" s="12" t="s">
        <v>155</v>
      </c>
      <c r="B113" s="54">
        <f t="shared" si="22"/>
        <v>0</v>
      </c>
      <c r="C113" s="54">
        <f t="shared" si="20"/>
        <v>0</v>
      </c>
      <c r="D113" s="63">
        <f>[25]РеалПрод!C142</f>
        <v>0</v>
      </c>
      <c r="E113" s="63"/>
      <c r="F113" s="63">
        <v>0</v>
      </c>
      <c r="G113" s="63"/>
      <c r="H113" s="63">
        <v>0</v>
      </c>
      <c r="I113" s="63"/>
      <c r="J113" s="44"/>
      <c r="K113" s="64"/>
      <c r="L113" s="62" t="s">
        <v>266</v>
      </c>
      <c r="S113" s="62" t="s">
        <v>266</v>
      </c>
    </row>
    <row r="114" spans="1:19" ht="12.75" customHeight="1" outlineLevel="1">
      <c r="A114" s="12" t="s">
        <v>156</v>
      </c>
      <c r="B114" s="54">
        <f t="shared" si="22"/>
        <v>0</v>
      </c>
      <c r="C114" s="54">
        <f t="shared" si="20"/>
        <v>0</v>
      </c>
      <c r="D114" s="63">
        <f>[25]РеалПрод!C143</f>
        <v>0</v>
      </c>
      <c r="E114" s="63"/>
      <c r="F114" s="63">
        <v>0</v>
      </c>
      <c r="G114" s="63"/>
      <c r="H114" s="63">
        <v>0</v>
      </c>
      <c r="I114" s="63"/>
      <c r="J114" s="44"/>
      <c r="K114" s="64"/>
      <c r="L114" s="62" t="s">
        <v>267</v>
      </c>
      <c r="S114" s="62" t="s">
        <v>267</v>
      </c>
    </row>
    <row r="115" spans="1:19" ht="12.75" customHeight="1" outlineLevel="1">
      <c r="A115" s="12" t="s">
        <v>157</v>
      </c>
      <c r="B115" s="54">
        <f t="shared" si="22"/>
        <v>0</v>
      </c>
      <c r="C115" s="54">
        <f t="shared" si="20"/>
        <v>0</v>
      </c>
      <c r="D115" s="63">
        <f>[25]РеалПрод!C144</f>
        <v>0</v>
      </c>
      <c r="E115" s="63"/>
      <c r="F115" s="63">
        <v>0</v>
      </c>
      <c r="G115" s="63"/>
      <c r="H115" s="63">
        <v>0</v>
      </c>
      <c r="I115" s="63"/>
      <c r="J115" s="44"/>
      <c r="K115" s="64"/>
      <c r="L115" s="62" t="s">
        <v>268</v>
      </c>
      <c r="S115" s="62" t="s">
        <v>268</v>
      </c>
    </row>
    <row r="116" spans="1:19" ht="12.75" customHeight="1" outlineLevel="1">
      <c r="A116" s="12" t="s">
        <v>158</v>
      </c>
      <c r="B116" s="54">
        <f t="shared" si="22"/>
        <v>0</v>
      </c>
      <c r="C116" s="54">
        <f t="shared" si="20"/>
        <v>0</v>
      </c>
      <c r="D116" s="63">
        <v>0</v>
      </c>
      <c r="E116" s="63"/>
      <c r="F116" s="63">
        <v>0</v>
      </c>
      <c r="G116" s="63"/>
      <c r="H116" s="63">
        <v>0</v>
      </c>
      <c r="I116" s="63"/>
      <c r="J116" s="44"/>
      <c r="K116" s="64"/>
      <c r="L116" s="62" t="s">
        <v>269</v>
      </c>
      <c r="S116" s="62" t="s">
        <v>269</v>
      </c>
    </row>
    <row r="117" spans="1:19">
      <c r="A117" s="12" t="s">
        <v>100</v>
      </c>
      <c r="B117" s="54">
        <f t="shared" si="22"/>
        <v>218521</v>
      </c>
      <c r="C117" s="54">
        <f t="shared" si="20"/>
        <v>86992.174809999997</v>
      </c>
      <c r="D117" s="68">
        <f>[25]РеалПрод!C146+[26]Свод!C135</f>
        <v>72883</v>
      </c>
      <c r="E117" s="68">
        <v>13828.17481</v>
      </c>
      <c r="F117" s="68">
        <v>72297</v>
      </c>
      <c r="G117" s="63">
        <v>49704</v>
      </c>
      <c r="H117" s="63">
        <v>73341</v>
      </c>
      <c r="I117" s="63">
        <f>15640/2*3</f>
        <v>23460</v>
      </c>
      <c r="J117" s="44"/>
      <c r="K117" s="64"/>
      <c r="L117" s="62" t="s">
        <v>270</v>
      </c>
      <c r="S117" s="62" t="s">
        <v>270</v>
      </c>
    </row>
    <row r="118" spans="1:19" ht="12.75" customHeight="1">
      <c r="A118" s="12" t="s">
        <v>101</v>
      </c>
      <c r="B118" s="54">
        <f t="shared" si="22"/>
        <v>4475370</v>
      </c>
      <c r="C118" s="54">
        <f t="shared" si="20"/>
        <v>4464122.82338</v>
      </c>
      <c r="D118" s="63">
        <v>1511950</v>
      </c>
      <c r="E118" s="68">
        <v>1305072.82338</v>
      </c>
      <c r="F118" s="63">
        <v>1511950</v>
      </c>
      <c r="G118" s="63">
        <v>1638857</v>
      </c>
      <c r="H118" s="63">
        <v>1451470</v>
      </c>
      <c r="I118" s="63">
        <f>1013462/2*3</f>
        <v>1520193</v>
      </c>
      <c r="J118" s="44"/>
      <c r="K118" s="64"/>
      <c r="L118" s="62" t="s">
        <v>271</v>
      </c>
      <c r="S118" s="62" t="s">
        <v>271</v>
      </c>
    </row>
    <row r="119" spans="1:19" ht="34.5" customHeight="1">
      <c r="A119" s="12" t="s">
        <v>102</v>
      </c>
      <c r="B119" s="54">
        <f t="shared" si="22"/>
        <v>165922</v>
      </c>
      <c r="C119" s="54">
        <f t="shared" si="20"/>
        <v>167259.93862999999</v>
      </c>
      <c r="D119" s="63">
        <f>D120+D121+D122</f>
        <v>49250</v>
      </c>
      <c r="E119" s="63">
        <f>E120+E121+E122</f>
        <v>53175.938630000004</v>
      </c>
      <c r="F119" s="63">
        <f>F120+F121+F122</f>
        <v>67422</v>
      </c>
      <c r="G119" s="63">
        <f t="shared" ref="G119:I119" si="26">G120+G121+G122</f>
        <v>56211</v>
      </c>
      <c r="H119" s="63">
        <v>49250</v>
      </c>
      <c r="I119" s="63">
        <f t="shared" si="26"/>
        <v>57873</v>
      </c>
      <c r="J119" s="44"/>
      <c r="K119" s="64"/>
      <c r="L119" s="62" t="s">
        <v>272</v>
      </c>
      <c r="S119" s="62" t="s">
        <v>272</v>
      </c>
    </row>
    <row r="120" spans="1:19" ht="16.5" customHeight="1">
      <c r="A120" s="12" t="s">
        <v>103</v>
      </c>
      <c r="B120" s="54">
        <f t="shared" si="22"/>
        <v>32000</v>
      </c>
      <c r="C120" s="54">
        <f t="shared" si="20"/>
        <v>20774.540850000001</v>
      </c>
      <c r="D120" s="63">
        <f>[25]РеалПрод!C149</f>
        <v>0</v>
      </c>
      <c r="E120" s="63">
        <v>4677.0408500000003</v>
      </c>
      <c r="F120" s="63">
        <v>32000</v>
      </c>
      <c r="G120" s="63">
        <f>4888+1950</f>
        <v>6838</v>
      </c>
      <c r="H120" s="63">
        <v>0</v>
      </c>
      <c r="I120" s="63">
        <f>4873/2*3+1300/2*3</f>
        <v>9259.5</v>
      </c>
      <c r="J120" s="44"/>
      <c r="K120" s="64"/>
      <c r="L120" s="62" t="s">
        <v>273</v>
      </c>
      <c r="S120" s="62" t="s">
        <v>273</v>
      </c>
    </row>
    <row r="121" spans="1:19" ht="12.75" customHeight="1">
      <c r="A121" s="12" t="s">
        <v>104</v>
      </c>
      <c r="B121" s="54">
        <f t="shared" ref="B121:B152" si="27">D121+F121+H121+J121</f>
        <v>81250</v>
      </c>
      <c r="C121" s="54">
        <f t="shared" ref="C121:C152" si="28">E121+G121+I121+K121</f>
        <v>92811.358030000003</v>
      </c>
      <c r="D121" s="63">
        <f>[25]РеалПрод!C150</f>
        <v>32000</v>
      </c>
      <c r="E121" s="63">
        <v>31102.858029999999</v>
      </c>
      <c r="F121" s="63">
        <v>17250</v>
      </c>
      <c r="G121" s="63">
        <v>30252</v>
      </c>
      <c r="H121" s="63">
        <v>32000</v>
      </c>
      <c r="I121" s="63">
        <f>20971/2*3</f>
        <v>31456.5</v>
      </c>
      <c r="J121" s="44"/>
      <c r="K121" s="64"/>
      <c r="L121" s="62" t="s">
        <v>274</v>
      </c>
      <c r="S121" s="62" t="s">
        <v>274</v>
      </c>
    </row>
    <row r="122" spans="1:19">
      <c r="A122" s="12" t="s">
        <v>105</v>
      </c>
      <c r="B122" s="54">
        <f t="shared" si="27"/>
        <v>52672</v>
      </c>
      <c r="C122" s="54">
        <f t="shared" si="28"/>
        <v>53674.039749999996</v>
      </c>
      <c r="D122" s="63">
        <f>[25]РеалПрод!C151</f>
        <v>17250</v>
      </c>
      <c r="E122" s="63">
        <f>15446.14628+1949.89347</f>
        <v>17396.03975</v>
      </c>
      <c r="F122" s="63">
        <v>18172</v>
      </c>
      <c r="G122" s="63">
        <v>19121</v>
      </c>
      <c r="H122" s="63">
        <v>17250</v>
      </c>
      <c r="I122" s="63">
        <f>11438/2*3</f>
        <v>17157</v>
      </c>
      <c r="J122" s="44"/>
      <c r="K122" s="64"/>
      <c r="L122" s="62" t="s">
        <v>275</v>
      </c>
      <c r="S122" s="62" t="s">
        <v>275</v>
      </c>
    </row>
    <row r="123" spans="1:19" ht="12.75" customHeight="1">
      <c r="A123" s="12" t="s">
        <v>106</v>
      </c>
      <c r="B123" s="54">
        <f t="shared" si="27"/>
        <v>36344</v>
      </c>
      <c r="C123" s="54">
        <f t="shared" si="28"/>
        <v>43407.51427</v>
      </c>
      <c r="D123" s="63">
        <f>[25]РеалПрод!C152</f>
        <v>18172</v>
      </c>
      <c r="E123" s="63">
        <v>15582.01427</v>
      </c>
      <c r="F123" s="63"/>
      <c r="G123" s="63">
        <v>15539</v>
      </c>
      <c r="H123" s="63">
        <v>18172</v>
      </c>
      <c r="I123" s="63">
        <f>8191/2*3</f>
        <v>12286.5</v>
      </c>
      <c r="J123" s="44"/>
      <c r="K123" s="64"/>
      <c r="L123" s="62" t="s">
        <v>276</v>
      </c>
      <c r="S123" s="62" t="s">
        <v>276</v>
      </c>
    </row>
    <row r="124" spans="1:19" ht="12.75" customHeight="1">
      <c r="A124" s="12" t="s">
        <v>107</v>
      </c>
      <c r="B124" s="54">
        <f t="shared" si="27"/>
        <v>0</v>
      </c>
      <c r="C124" s="54">
        <f t="shared" si="28"/>
        <v>0</v>
      </c>
      <c r="D124" s="63">
        <f>[25]РеалПрод!C153</f>
        <v>0</v>
      </c>
      <c r="E124" s="63"/>
      <c r="F124" s="63"/>
      <c r="G124" s="63"/>
      <c r="H124" s="63">
        <v>0</v>
      </c>
      <c r="I124" s="63"/>
      <c r="J124" s="44"/>
      <c r="K124" s="64"/>
      <c r="L124" s="62" t="s">
        <v>277</v>
      </c>
      <c r="S124" s="62" t="s">
        <v>277</v>
      </c>
    </row>
    <row r="125" spans="1:19" ht="12.75" customHeight="1">
      <c r="A125" s="12" t="s">
        <v>352</v>
      </c>
      <c r="B125" s="54">
        <f t="shared" si="27"/>
        <v>4522402</v>
      </c>
      <c r="C125" s="54">
        <f t="shared" si="28"/>
        <v>4067649.6555899996</v>
      </c>
      <c r="D125" s="63">
        <f>SUM(D126:D129,D131:D136)</f>
        <v>1518706</v>
      </c>
      <c r="E125" s="63">
        <f>SUM(E126:E129,E131:E136)</f>
        <v>1360362.1555899999</v>
      </c>
      <c r="F125" s="63">
        <f t="shared" ref="F125:I125" si="29">SUM(F126:F129,F131:F136)</f>
        <v>1404392</v>
      </c>
      <c r="G125" s="63">
        <f t="shared" si="29"/>
        <v>1312457</v>
      </c>
      <c r="H125" s="130">
        <f>H126+H127+H128+H129+H131+H132+H134</f>
        <v>1599304</v>
      </c>
      <c r="I125" s="63">
        <f t="shared" si="29"/>
        <v>1394830.5</v>
      </c>
      <c r="J125" s="44"/>
      <c r="K125" s="64"/>
      <c r="L125" s="62" t="s">
        <v>278</v>
      </c>
      <c r="S125" s="62" t="s">
        <v>278</v>
      </c>
    </row>
    <row r="126" spans="1:19" ht="12.75" customHeight="1">
      <c r="A126" s="12" t="s">
        <v>108</v>
      </c>
      <c r="B126" s="54">
        <f t="shared" si="27"/>
        <v>1638417</v>
      </c>
      <c r="C126" s="54">
        <f t="shared" si="28"/>
        <v>2250653.7311</v>
      </c>
      <c r="D126" s="63">
        <v>527964</v>
      </c>
      <c r="E126" s="63">
        <v>692433.73109999998</v>
      </c>
      <c r="F126" s="63">
        <v>512964</v>
      </c>
      <c r="G126" s="63">
        <v>736673</v>
      </c>
      <c r="H126" s="63">
        <v>597489</v>
      </c>
      <c r="I126" s="63">
        <f>547698/2*3</f>
        <v>821547</v>
      </c>
      <c r="J126" s="44"/>
      <c r="K126" s="64"/>
      <c r="L126" s="62" t="s">
        <v>279</v>
      </c>
      <c r="S126" s="62" t="s">
        <v>279</v>
      </c>
    </row>
    <row r="127" spans="1:19">
      <c r="A127" s="12" t="s">
        <v>109</v>
      </c>
      <c r="B127" s="54">
        <f t="shared" si="27"/>
        <v>196608</v>
      </c>
      <c r="C127" s="54">
        <f t="shared" si="28"/>
        <v>270079.04664000002</v>
      </c>
      <c r="D127" s="63">
        <v>63355</v>
      </c>
      <c r="E127" s="63">
        <v>83092.04664</v>
      </c>
      <c r="F127" s="63">
        <v>61555</v>
      </c>
      <c r="G127" s="63">
        <v>88401</v>
      </c>
      <c r="H127" s="63">
        <v>71698</v>
      </c>
      <c r="I127" s="63">
        <f>65724/2*3</f>
        <v>98586</v>
      </c>
      <c r="J127" s="44"/>
      <c r="K127" s="64"/>
      <c r="L127" s="62" t="s">
        <v>280</v>
      </c>
      <c r="S127" s="62" t="s">
        <v>280</v>
      </c>
    </row>
    <row r="128" spans="1:19" ht="12.75" customHeight="1">
      <c r="A128" s="12" t="s">
        <v>110</v>
      </c>
      <c r="B128" s="54">
        <f t="shared" si="27"/>
        <v>450039</v>
      </c>
      <c r="C128" s="54">
        <f t="shared" si="28"/>
        <v>409295.89953</v>
      </c>
      <c r="D128" s="63">
        <f>[25]РеалПрод!C157+[26]Свод!C146</f>
        <v>144279</v>
      </c>
      <c r="E128" s="63">
        <v>136099.39953</v>
      </c>
      <c r="F128" s="63">
        <v>152162</v>
      </c>
      <c r="G128" s="63">
        <v>136998</v>
      </c>
      <c r="H128" s="63">
        <v>153598</v>
      </c>
      <c r="I128" s="63">
        <f>90799/2*3</f>
        <v>136198.5</v>
      </c>
      <c r="J128" s="44"/>
      <c r="K128" s="64"/>
      <c r="L128" s="62" t="s">
        <v>281</v>
      </c>
      <c r="S128" s="62" t="s">
        <v>281</v>
      </c>
    </row>
    <row r="129" spans="1:19" ht="38.25">
      <c r="A129" s="14" t="s">
        <v>111</v>
      </c>
      <c r="B129" s="54">
        <f t="shared" si="27"/>
        <v>15428</v>
      </c>
      <c r="C129" s="54">
        <f t="shared" si="28"/>
        <v>101479.23102000001</v>
      </c>
      <c r="D129" s="63">
        <f>[25]РеалПрод!C158+[26]Свод!C147</f>
        <v>5540</v>
      </c>
      <c r="E129" s="63">
        <v>101479.23102000001</v>
      </c>
      <c r="F129" s="63">
        <v>4648</v>
      </c>
      <c r="G129" s="63"/>
      <c r="H129" s="63">
        <v>5240</v>
      </c>
      <c r="I129" s="63"/>
      <c r="J129" s="44"/>
      <c r="K129" s="64"/>
      <c r="L129" s="67" t="s">
        <v>282</v>
      </c>
      <c r="S129" s="67" t="s">
        <v>282</v>
      </c>
    </row>
    <row r="130" spans="1:19" ht="25.5" outlineLevel="1">
      <c r="A130" s="12" t="s">
        <v>112</v>
      </c>
      <c r="B130" s="54">
        <f t="shared" si="27"/>
        <v>0</v>
      </c>
      <c r="C130" s="54">
        <f t="shared" si="28"/>
        <v>0</v>
      </c>
      <c r="D130" s="63">
        <f>[25]РеалПрод!C159+[26]Свод!C148</f>
        <v>0</v>
      </c>
      <c r="E130" s="63"/>
      <c r="F130" s="63">
        <v>0</v>
      </c>
      <c r="G130" s="63"/>
      <c r="H130" s="63">
        <v>0</v>
      </c>
      <c r="I130" s="63"/>
      <c r="J130" s="44"/>
      <c r="K130" s="64"/>
      <c r="L130" s="62" t="s">
        <v>283</v>
      </c>
      <c r="S130" s="62" t="s">
        <v>283</v>
      </c>
    </row>
    <row r="131" spans="1:19" ht="12.75" customHeight="1">
      <c r="A131" s="12" t="s">
        <v>113</v>
      </c>
      <c r="B131" s="54">
        <f t="shared" si="27"/>
        <v>169902</v>
      </c>
      <c r="C131" s="54">
        <f t="shared" si="28"/>
        <v>116627.54745</v>
      </c>
      <c r="D131" s="63">
        <f>[25]РеалПрод!C160+[26]Свод!C149</f>
        <v>52735</v>
      </c>
      <c r="E131" s="63">
        <v>33215.547449999998</v>
      </c>
      <c r="F131" s="63">
        <v>58263</v>
      </c>
      <c r="G131" s="63">
        <v>43665</v>
      </c>
      <c r="H131" s="63">
        <v>58904</v>
      </c>
      <c r="I131" s="63">
        <f>26498/2*3</f>
        <v>39747</v>
      </c>
      <c r="J131" s="44"/>
      <c r="K131" s="64"/>
      <c r="L131" s="62" t="s">
        <v>284</v>
      </c>
      <c r="S131" s="62" t="s">
        <v>284</v>
      </c>
    </row>
    <row r="132" spans="1:19">
      <c r="A132" s="12" t="s">
        <v>114</v>
      </c>
      <c r="B132" s="54">
        <f t="shared" si="27"/>
        <v>1590676</v>
      </c>
      <c r="C132" s="54">
        <f t="shared" si="28"/>
        <v>535995.00943999994</v>
      </c>
      <c r="D132" s="63">
        <v>508291</v>
      </c>
      <c r="E132" s="63">
        <v>223154.00943999999</v>
      </c>
      <c r="F132" s="63">
        <v>511305</v>
      </c>
      <c r="G132" s="63">
        <v>162157</v>
      </c>
      <c r="H132" s="63">
        <v>571080</v>
      </c>
      <c r="I132" s="63">
        <f>100456/2*3</f>
        <v>150684</v>
      </c>
      <c r="J132" s="44"/>
      <c r="K132" s="64"/>
      <c r="L132" s="62" t="s">
        <v>285</v>
      </c>
      <c r="S132" s="62" t="s">
        <v>285</v>
      </c>
    </row>
    <row r="133" spans="1:19" ht="12.75" customHeight="1">
      <c r="A133" s="12" t="s">
        <v>115</v>
      </c>
      <c r="B133" s="54">
        <f t="shared" si="27"/>
        <v>82096</v>
      </c>
      <c r="C133" s="54">
        <f t="shared" si="28"/>
        <v>23824.809020000001</v>
      </c>
      <c r="D133" s="63">
        <f>[25]РеалПрод!C162+[26]Свод!C151</f>
        <v>80322</v>
      </c>
      <c r="E133" s="63">
        <v>3217.8090200000001</v>
      </c>
      <c r="F133" s="63">
        <v>1774</v>
      </c>
      <c r="G133" s="63"/>
      <c r="H133" s="63">
        <v>0</v>
      </c>
      <c r="I133" s="63">
        <f>13738/2*3</f>
        <v>20607</v>
      </c>
      <c r="J133" s="44"/>
      <c r="K133" s="64"/>
      <c r="L133" s="62" t="s">
        <v>286</v>
      </c>
      <c r="S133" s="62" t="s">
        <v>286</v>
      </c>
    </row>
    <row r="134" spans="1:19">
      <c r="A134" s="12" t="s">
        <v>116</v>
      </c>
      <c r="B134" s="54">
        <f t="shared" si="27"/>
        <v>379236</v>
      </c>
      <c r="C134" s="54">
        <f t="shared" si="28"/>
        <v>359694.38139</v>
      </c>
      <c r="D134" s="63">
        <f>[25]РеалПрод!C163+[26]Свод!C152</f>
        <v>136220</v>
      </c>
      <c r="E134" s="63">
        <f>85569.92513+2100.45626</f>
        <v>87670.38139000001</v>
      </c>
      <c r="F134" s="63">
        <v>101721</v>
      </c>
      <c r="G134" s="63">
        <f>65868+78695</f>
        <v>144563</v>
      </c>
      <c r="H134" s="63">
        <v>141295</v>
      </c>
      <c r="I134" s="63">
        <f>25206/2*3+59768/2*3</f>
        <v>127461</v>
      </c>
      <c r="J134" s="44"/>
      <c r="K134" s="64"/>
      <c r="L134" s="62" t="s">
        <v>287</v>
      </c>
      <c r="S134" s="62" t="s">
        <v>287</v>
      </c>
    </row>
    <row r="135" spans="1:19" outlineLevel="1">
      <c r="A135" s="15" t="s">
        <v>117</v>
      </c>
      <c r="B135" s="54">
        <f t="shared" si="27"/>
        <v>0</v>
      </c>
      <c r="C135" s="54">
        <f t="shared" si="28"/>
        <v>0</v>
      </c>
      <c r="D135" s="63">
        <f>[25]РеалПрод!C164+[26]Свод!C153</f>
        <v>0</v>
      </c>
      <c r="E135" s="63"/>
      <c r="F135" s="63">
        <v>0</v>
      </c>
      <c r="G135" s="63"/>
      <c r="H135" s="63">
        <v>0</v>
      </c>
      <c r="I135" s="63"/>
      <c r="J135" s="44"/>
      <c r="K135" s="64"/>
      <c r="L135" s="72" t="s">
        <v>288</v>
      </c>
      <c r="S135" s="72" t="s">
        <v>288</v>
      </c>
    </row>
    <row r="136" spans="1:19" outlineLevel="1">
      <c r="A136" s="15" t="s">
        <v>118</v>
      </c>
      <c r="B136" s="54">
        <f t="shared" si="27"/>
        <v>0</v>
      </c>
      <c r="C136" s="54">
        <f t="shared" si="28"/>
        <v>0</v>
      </c>
      <c r="D136" s="63">
        <f>[25]РеалПрод!C165+[26]Свод!C154</f>
        <v>0</v>
      </c>
      <c r="E136" s="63"/>
      <c r="F136" s="63">
        <v>0</v>
      </c>
      <c r="G136" s="63"/>
      <c r="H136" s="63">
        <v>0</v>
      </c>
      <c r="I136" s="63"/>
      <c r="J136" s="44"/>
      <c r="K136" s="64"/>
      <c r="L136" s="72" t="s">
        <v>289</v>
      </c>
      <c r="S136" s="72" t="s">
        <v>289</v>
      </c>
    </row>
    <row r="137" spans="1:19">
      <c r="A137" s="15" t="s">
        <v>119</v>
      </c>
      <c r="B137" s="54">
        <f>D137+F137+H137+J137</f>
        <v>210111.5</v>
      </c>
      <c r="C137" s="54">
        <f t="shared" si="28"/>
        <v>381536.54408999998</v>
      </c>
      <c r="D137" s="63">
        <f>[25]РеалПрод!C166</f>
        <v>28458</v>
      </c>
      <c r="E137" s="63">
        <v>37940.544090000003</v>
      </c>
      <c r="F137" s="63">
        <v>93195.5</v>
      </c>
      <c r="G137" s="63">
        <v>107394</v>
      </c>
      <c r="H137" s="63">
        <v>88458</v>
      </c>
      <c r="I137" s="63">
        <f>157468/2*3</f>
        <v>236202</v>
      </c>
      <c r="J137" s="44"/>
      <c r="K137" s="64"/>
      <c r="L137" s="72" t="s">
        <v>290</v>
      </c>
      <c r="S137" s="72" t="s">
        <v>290</v>
      </c>
    </row>
    <row r="138" spans="1:19" ht="25.5" outlineLevel="1">
      <c r="A138" s="14" t="s">
        <v>120</v>
      </c>
      <c r="B138" s="54">
        <f t="shared" si="27"/>
        <v>14779475</v>
      </c>
      <c r="C138" s="54">
        <f t="shared" si="28"/>
        <v>17496999.5</v>
      </c>
      <c r="D138" s="63">
        <f>[25]РеалПрод!C167</f>
        <v>4894737.5</v>
      </c>
      <c r="E138" s="63"/>
      <c r="F138" s="63">
        <v>4940000</v>
      </c>
      <c r="G138" s="63">
        <v>11663036</v>
      </c>
      <c r="H138" s="63">
        <v>4944737.5</v>
      </c>
      <c r="I138" s="63">
        <f>3889309/2*3</f>
        <v>5833963.5</v>
      </c>
      <c r="J138" s="44"/>
      <c r="K138" s="64"/>
      <c r="L138" s="67" t="s">
        <v>291</v>
      </c>
      <c r="S138" s="67" t="s">
        <v>291</v>
      </c>
    </row>
    <row r="139" spans="1:19" ht="12.75" customHeight="1" outlineLevel="1">
      <c r="A139" s="12" t="s">
        <v>121</v>
      </c>
      <c r="B139" s="54">
        <f t="shared" si="27"/>
        <v>0</v>
      </c>
      <c r="C139" s="54">
        <f t="shared" si="28"/>
        <v>6250</v>
      </c>
      <c r="D139" s="63">
        <f>[25]РеалПрод!C168</f>
        <v>0</v>
      </c>
      <c r="E139" s="63"/>
      <c r="F139" s="63">
        <v>0</v>
      </c>
      <c r="G139" s="63">
        <v>6250</v>
      </c>
      <c r="H139" s="63">
        <v>0</v>
      </c>
      <c r="I139" s="63"/>
      <c r="J139" s="44"/>
      <c r="K139" s="64"/>
      <c r="L139" s="62" t="s">
        <v>292</v>
      </c>
      <c r="S139" s="62" t="s">
        <v>292</v>
      </c>
    </row>
    <row r="140" spans="1:19" ht="28.5" customHeight="1" outlineLevel="1">
      <c r="A140" s="96" t="s">
        <v>361</v>
      </c>
      <c r="B140" s="54">
        <f t="shared" si="27"/>
        <v>0</v>
      </c>
      <c r="C140" s="54">
        <f t="shared" si="28"/>
        <v>195628.84253999998</v>
      </c>
      <c r="D140" s="63">
        <f>[25]РеалПрод!C169</f>
        <v>0</v>
      </c>
      <c r="E140" s="63">
        <v>53452.842539999998</v>
      </c>
      <c r="F140" s="63">
        <v>0</v>
      </c>
      <c r="G140" s="63">
        <v>60738</v>
      </c>
      <c r="H140" s="63">
        <v>0</v>
      </c>
      <c r="I140" s="63">
        <f>54292/2*3</f>
        <v>81438</v>
      </c>
      <c r="J140" s="44"/>
      <c r="K140" s="64"/>
      <c r="L140" s="62" t="s">
        <v>343</v>
      </c>
      <c r="S140" s="62" t="s">
        <v>343</v>
      </c>
    </row>
    <row r="141" spans="1:19" ht="37.5" customHeight="1" outlineLevel="1">
      <c r="A141" s="12" t="s">
        <v>122</v>
      </c>
      <c r="B141" s="54">
        <f t="shared" si="27"/>
        <v>0</v>
      </c>
      <c r="C141" s="54">
        <f t="shared" si="28"/>
        <v>2678.57143</v>
      </c>
      <c r="D141" s="63">
        <f>[25]РеалПрод!C170</f>
        <v>0</v>
      </c>
      <c r="E141" s="63">
        <v>2678.57143</v>
      </c>
      <c r="F141" s="63">
        <v>0</v>
      </c>
      <c r="G141" s="63"/>
      <c r="H141" s="63">
        <v>0</v>
      </c>
      <c r="I141" s="63"/>
      <c r="J141" s="44"/>
      <c r="K141" s="64"/>
      <c r="L141" s="62" t="s">
        <v>293</v>
      </c>
      <c r="S141" s="62" t="s">
        <v>293</v>
      </c>
    </row>
    <row r="142" spans="1:19" ht="25.5" customHeight="1" thickBot="1">
      <c r="A142" s="12" t="s">
        <v>123</v>
      </c>
      <c r="B142" s="54">
        <f t="shared" si="27"/>
        <v>95223</v>
      </c>
      <c r="C142" s="54">
        <f t="shared" si="28"/>
        <v>52298.70435</v>
      </c>
      <c r="D142" s="63">
        <f>[25]РеалПрод!C171</f>
        <v>31741</v>
      </c>
      <c r="E142" s="63">
        <v>20844.70435</v>
      </c>
      <c r="F142" s="63">
        <v>31741</v>
      </c>
      <c r="G142" s="63">
        <v>11828</v>
      </c>
      <c r="H142" s="63">
        <v>31741</v>
      </c>
      <c r="I142" s="63">
        <f>13084/2*3</f>
        <v>19626</v>
      </c>
      <c r="J142" s="44"/>
      <c r="K142" s="64"/>
      <c r="L142" s="62" t="s">
        <v>294</v>
      </c>
      <c r="S142" s="62" t="s">
        <v>294</v>
      </c>
    </row>
    <row r="143" spans="1:19" ht="13.5" customHeight="1" thickBot="1">
      <c r="A143" s="11" t="s">
        <v>124</v>
      </c>
      <c r="B143" s="54">
        <f t="shared" si="27"/>
        <v>107049955</v>
      </c>
      <c r="C143" s="54">
        <f t="shared" si="28"/>
        <v>166343094.24976</v>
      </c>
      <c r="D143" s="59">
        <f>SUM(D144,D146:D152,D162,D167,D172:D177,D188:D192)</f>
        <v>31984757</v>
      </c>
      <c r="E143" s="59">
        <f>SUM(E144,E146:E152,E162,E167,E172:E177,E188:E192)</f>
        <v>49049139.249760002</v>
      </c>
      <c r="F143" s="59">
        <f>SUM(F144,F146:F152,F161,F167,F172:F177,F188:F192)</f>
        <v>36087200</v>
      </c>
      <c r="G143" s="59">
        <f t="shared" ref="G143:I143" si="30">SUM(G144,G146:G152,G162,G167,G172:G177,G188:G192)</f>
        <v>59453364</v>
      </c>
      <c r="H143" s="59">
        <f t="shared" ref="H143" si="31">SUM(H144,H146:H152,H161,H167,H172:H177,H188:H192)</f>
        <v>38977998</v>
      </c>
      <c r="I143" s="59">
        <f t="shared" si="30"/>
        <v>57840591</v>
      </c>
      <c r="J143" s="43"/>
      <c r="K143" s="60"/>
      <c r="L143" s="61" t="s">
        <v>295</v>
      </c>
      <c r="M143" s="22">
        <f>G143-'[27]АО(доп.вскрыша всего)'!D170</f>
        <v>57876786</v>
      </c>
      <c r="N143" s="22">
        <f>I143-'[27]АО(доп.вскрыша всего)'!E170</f>
        <v>56280092</v>
      </c>
      <c r="O143" s="22">
        <f>K143-'[27]АО(доп.вскрыша всего)'!F170</f>
        <v>-1426510</v>
      </c>
      <c r="P143" s="2" t="s">
        <v>16</v>
      </c>
      <c r="S143" s="61" t="s">
        <v>295</v>
      </c>
    </row>
    <row r="144" spans="1:19" ht="25.5">
      <c r="A144" s="12" t="s">
        <v>125</v>
      </c>
      <c r="B144" s="54">
        <f t="shared" si="27"/>
        <v>238680</v>
      </c>
      <c r="C144" s="54">
        <f t="shared" si="28"/>
        <v>372528.31383</v>
      </c>
      <c r="D144" s="63">
        <f>[25]РеалПрод!C173+[26]Свод!C161</f>
        <v>77405</v>
      </c>
      <c r="E144" s="63">
        <v>107673.81383</v>
      </c>
      <c r="F144" s="63">
        <v>81905</v>
      </c>
      <c r="G144" s="63">
        <v>158617</v>
      </c>
      <c r="H144" s="63">
        <v>79370</v>
      </c>
      <c r="I144" s="63">
        <f>70825/2*3</f>
        <v>106237.5</v>
      </c>
      <c r="J144" s="44"/>
      <c r="K144" s="64"/>
      <c r="L144" s="62" t="s">
        <v>296</v>
      </c>
      <c r="M144" s="2">
        <v>36087200</v>
      </c>
      <c r="N144" s="57">
        <f>F143-M144</f>
        <v>0</v>
      </c>
      <c r="S144" s="62" t="s">
        <v>296</v>
      </c>
    </row>
    <row r="145" spans="1:19" ht="13.5" customHeight="1" outlineLevel="1">
      <c r="A145" s="12" t="s">
        <v>159</v>
      </c>
      <c r="B145" s="54">
        <f t="shared" si="27"/>
        <v>0</v>
      </c>
      <c r="C145" s="54">
        <f t="shared" si="28"/>
        <v>0</v>
      </c>
      <c r="D145" s="63">
        <f>[25]РеалПрод!C174+[26]Свод!C162</f>
        <v>0</v>
      </c>
      <c r="E145" s="63"/>
      <c r="F145" s="63">
        <v>0</v>
      </c>
      <c r="G145" s="63"/>
      <c r="H145" s="63">
        <v>0</v>
      </c>
      <c r="I145" s="63"/>
      <c r="J145" s="44"/>
      <c r="K145" s="64"/>
      <c r="L145" s="62" t="s">
        <v>297</v>
      </c>
      <c r="M145" s="3"/>
      <c r="N145" s="3"/>
      <c r="O145" s="3"/>
      <c r="S145" s="62" t="s">
        <v>297</v>
      </c>
    </row>
    <row r="146" spans="1:19" ht="22.5" customHeight="1" outlineLevel="1">
      <c r="A146" s="12" t="s">
        <v>160</v>
      </c>
      <c r="B146" s="54">
        <f t="shared" si="27"/>
        <v>0</v>
      </c>
      <c r="C146" s="54">
        <f t="shared" si="28"/>
        <v>0</v>
      </c>
      <c r="D146" s="63">
        <f>[25]РеалПрод!C175+[26]Свод!C163</f>
        <v>0</v>
      </c>
      <c r="E146" s="63"/>
      <c r="F146" s="63">
        <v>0</v>
      </c>
      <c r="G146" s="63"/>
      <c r="H146" s="63">
        <v>0</v>
      </c>
      <c r="I146" s="63"/>
      <c r="J146" s="44"/>
      <c r="K146" s="64"/>
      <c r="L146" s="62" t="s">
        <v>298</v>
      </c>
      <c r="S146" s="62" t="s">
        <v>298</v>
      </c>
    </row>
    <row r="147" spans="1:19" ht="13.5" customHeight="1">
      <c r="A147" s="12" t="s">
        <v>126</v>
      </c>
      <c r="B147" s="54">
        <f t="shared" si="27"/>
        <v>404226</v>
      </c>
      <c r="C147" s="54">
        <f t="shared" si="28"/>
        <v>109769.22474000001</v>
      </c>
      <c r="D147" s="63">
        <v>404226</v>
      </c>
      <c r="E147" s="63">
        <v>20270.724740000001</v>
      </c>
      <c r="F147" s="63">
        <v>0</v>
      </c>
      <c r="G147" s="63">
        <v>47311</v>
      </c>
      <c r="H147" s="63">
        <v>0</v>
      </c>
      <c r="I147" s="63">
        <f>28125/2*3</f>
        <v>42187.5</v>
      </c>
      <c r="J147" s="44"/>
      <c r="K147" s="64"/>
      <c r="L147" s="62" t="s">
        <v>299</v>
      </c>
      <c r="M147" s="3"/>
      <c r="N147" s="3"/>
      <c r="O147" s="3"/>
      <c r="S147" s="62" t="s">
        <v>299</v>
      </c>
    </row>
    <row r="148" spans="1:19" ht="13.5" customHeight="1">
      <c r="A148" s="12" t="s">
        <v>127</v>
      </c>
      <c r="B148" s="54">
        <f t="shared" si="27"/>
        <v>427350</v>
      </c>
      <c r="C148" s="54">
        <f t="shared" si="28"/>
        <v>0</v>
      </c>
      <c r="D148" s="63">
        <v>267582</v>
      </c>
      <c r="E148" s="63"/>
      <c r="F148" s="63">
        <v>159768</v>
      </c>
      <c r="G148" s="63"/>
      <c r="H148" s="63">
        <v>0</v>
      </c>
      <c r="I148" s="63"/>
      <c r="J148" s="44"/>
      <c r="K148" s="64"/>
      <c r="L148" s="62" t="s">
        <v>300</v>
      </c>
      <c r="M148" s="3"/>
      <c r="N148" s="3"/>
      <c r="O148" s="3"/>
      <c r="S148" s="62" t="s">
        <v>300</v>
      </c>
    </row>
    <row r="149" spans="1:19" s="56" customFormat="1" ht="23.25" customHeight="1">
      <c r="A149" s="96" t="s">
        <v>363</v>
      </c>
      <c r="B149" s="54">
        <f t="shared" si="27"/>
        <v>0</v>
      </c>
      <c r="C149" s="54">
        <f t="shared" si="28"/>
        <v>1765628.2957600001</v>
      </c>
      <c r="D149" s="63"/>
      <c r="E149" s="63">
        <v>832045.29576000001</v>
      </c>
      <c r="F149" s="63">
        <v>0</v>
      </c>
      <c r="G149" s="63">
        <v>323512</v>
      </c>
      <c r="H149" s="63">
        <v>0</v>
      </c>
      <c r="I149" s="63">
        <f>406714/2*3</f>
        <v>610071</v>
      </c>
      <c r="J149" s="44"/>
      <c r="K149" s="64"/>
      <c r="L149" s="62" t="s">
        <v>344</v>
      </c>
      <c r="M149" s="57"/>
      <c r="N149" s="57"/>
      <c r="O149" s="57"/>
      <c r="S149" s="62" t="s">
        <v>344</v>
      </c>
    </row>
    <row r="150" spans="1:19" ht="39.75" customHeight="1" outlineLevel="1">
      <c r="A150" s="12" t="s">
        <v>161</v>
      </c>
      <c r="B150" s="54">
        <f t="shared" si="27"/>
        <v>0</v>
      </c>
      <c r="C150" s="54">
        <f t="shared" si="28"/>
        <v>601908</v>
      </c>
      <c r="D150" s="63">
        <f>[25]РеалПрод!C178+[26]Свод!C166</f>
        <v>0</v>
      </c>
      <c r="E150" s="63">
        <v>0</v>
      </c>
      <c r="F150" s="63">
        <v>0</v>
      </c>
      <c r="G150" s="63">
        <v>261468</v>
      </c>
      <c r="H150" s="63">
        <v>0</v>
      </c>
      <c r="I150" s="63">
        <f>226960/2*3</f>
        <v>340440</v>
      </c>
      <c r="J150" s="44"/>
      <c r="K150" s="64"/>
      <c r="L150" s="62" t="s">
        <v>301</v>
      </c>
      <c r="S150" s="62" t="s">
        <v>301</v>
      </c>
    </row>
    <row r="151" spans="1:19" ht="37.5" customHeight="1" outlineLevel="1">
      <c r="A151" s="12" t="s">
        <v>162</v>
      </c>
      <c r="B151" s="54">
        <f t="shared" si="27"/>
        <v>0</v>
      </c>
      <c r="C151" s="54">
        <f t="shared" si="28"/>
        <v>123681</v>
      </c>
      <c r="D151" s="63">
        <f>[25]РеалПрод!C179+[26]Свод!C167</f>
        <v>0</v>
      </c>
      <c r="E151" s="63">
        <v>23820</v>
      </c>
      <c r="F151" s="63">
        <v>0</v>
      </c>
      <c r="G151" s="63">
        <v>38466</v>
      </c>
      <c r="H151" s="63">
        <v>0</v>
      </c>
      <c r="I151" s="63">
        <f>40930/2*3</f>
        <v>61395</v>
      </c>
      <c r="J151" s="44"/>
      <c r="K151" s="64"/>
      <c r="L151" s="62" t="s">
        <v>302</v>
      </c>
      <c r="S151" s="62" t="s">
        <v>302</v>
      </c>
    </row>
    <row r="152" spans="1:19" ht="12.75" customHeight="1">
      <c r="A152" s="62" t="s">
        <v>128</v>
      </c>
      <c r="B152" s="104">
        <f t="shared" si="27"/>
        <v>36561995</v>
      </c>
      <c r="C152" s="104">
        <f t="shared" si="28"/>
        <v>43228066.556099996</v>
      </c>
      <c r="D152" s="63">
        <f>SUM(D153:D154,D156:D161)</f>
        <v>12414570</v>
      </c>
      <c r="E152" s="63">
        <f>SUM(E153:E154,E156:E161)</f>
        <v>11748436.5561</v>
      </c>
      <c r="F152" s="63">
        <v>11736224</v>
      </c>
      <c r="G152" s="63">
        <f t="shared" ref="G152:I152" si="32">SUM(G153:G154,G156:G161)</f>
        <v>11749113</v>
      </c>
      <c r="H152" s="63">
        <f>H154+H157+H158</f>
        <v>12411201</v>
      </c>
      <c r="I152" s="63">
        <f t="shared" si="32"/>
        <v>19730517</v>
      </c>
      <c r="J152" s="44"/>
      <c r="K152" s="64"/>
      <c r="L152" s="62" t="s">
        <v>303</v>
      </c>
      <c r="M152" s="3"/>
      <c r="N152" s="3"/>
      <c r="O152" s="3"/>
      <c r="S152" s="62" t="s">
        <v>303</v>
      </c>
    </row>
    <row r="153" spans="1:19" ht="25.5" hidden="1" outlineLevel="1">
      <c r="A153" s="12" t="s">
        <v>17</v>
      </c>
      <c r="B153" s="54">
        <f t="shared" ref="B153:B184" si="33">D153+F153+H153+J153</f>
        <v>0</v>
      </c>
      <c r="C153" s="54">
        <f t="shared" ref="C153:C184" si="34">E153+G153+I153+K153</f>
        <v>0</v>
      </c>
      <c r="D153" s="63">
        <f>[25]РеалПрод!C181+[26]Свод!C170</f>
        <v>0</v>
      </c>
      <c r="E153" s="63"/>
      <c r="F153" s="63"/>
      <c r="G153" s="63"/>
      <c r="H153" s="63">
        <v>0</v>
      </c>
      <c r="I153" s="63"/>
      <c r="J153" s="44"/>
      <c r="K153" s="64"/>
      <c r="L153" s="62" t="s">
        <v>17</v>
      </c>
      <c r="S153" s="62" t="s">
        <v>17</v>
      </c>
    </row>
    <row r="154" spans="1:19" ht="38.25" collapsed="1">
      <c r="A154" s="12" t="s">
        <v>129</v>
      </c>
      <c r="B154" s="54">
        <f t="shared" si="33"/>
        <v>36443332</v>
      </c>
      <c r="C154" s="54">
        <f t="shared" si="34"/>
        <v>39236537.186350003</v>
      </c>
      <c r="D154" s="63">
        <f>8612997+3762017</f>
        <v>12375014</v>
      </c>
      <c r="E154" s="63">
        <v>10451833.686349999</v>
      </c>
      <c r="F154" s="63">
        <f>8596195+3100475</f>
        <v>11696670</v>
      </c>
      <c r="G154" s="63">
        <v>9561725</v>
      </c>
      <c r="H154" s="63">
        <v>12371648</v>
      </c>
      <c r="I154" s="63">
        <f>12815319/2*3</f>
        <v>19222978.5</v>
      </c>
      <c r="J154" s="44"/>
      <c r="K154" s="64"/>
      <c r="L154" s="62" t="s">
        <v>304</v>
      </c>
      <c r="S154" s="62" t="s">
        <v>304</v>
      </c>
    </row>
    <row r="155" spans="1:19">
      <c r="A155" s="12" t="s">
        <v>130</v>
      </c>
      <c r="B155" s="54">
        <f t="shared" si="33"/>
        <v>2734446</v>
      </c>
      <c r="C155" s="54">
        <f t="shared" si="34"/>
        <v>4170130.6606000001</v>
      </c>
      <c r="D155" s="63">
        <v>922825</v>
      </c>
      <c r="E155" s="63">
        <v>1110986.1606000001</v>
      </c>
      <c r="F155" s="63">
        <v>921023</v>
      </c>
      <c r="G155" s="63">
        <v>1018441</v>
      </c>
      <c r="H155" s="63">
        <v>890598</v>
      </c>
      <c r="I155" s="63">
        <f>1360469/2*3</f>
        <v>2040703.5</v>
      </c>
      <c r="J155" s="44"/>
      <c r="K155" s="64"/>
      <c r="L155" s="62" t="s">
        <v>305</v>
      </c>
      <c r="S155" s="62" t="s">
        <v>305</v>
      </c>
    </row>
    <row r="156" spans="1:19" ht="20.25" customHeight="1" outlineLevel="1">
      <c r="A156" s="23" t="s">
        <v>375</v>
      </c>
      <c r="B156" s="54">
        <f t="shared" si="33"/>
        <v>0</v>
      </c>
      <c r="C156" s="54">
        <f t="shared" si="34"/>
        <v>218920.30478999999</v>
      </c>
      <c r="D156" s="63"/>
      <c r="E156" s="63">
        <v>61328.804790000002</v>
      </c>
      <c r="F156" s="63">
        <v>0</v>
      </c>
      <c r="G156" s="63">
        <v>127308</v>
      </c>
      <c r="H156" s="63">
        <v>0</v>
      </c>
      <c r="I156" s="63">
        <f>20189/2*3</f>
        <v>30283.5</v>
      </c>
      <c r="J156" s="44"/>
      <c r="K156" s="64"/>
      <c r="L156" s="91" t="s">
        <v>350</v>
      </c>
      <c r="S156" s="91" t="s">
        <v>350</v>
      </c>
    </row>
    <row r="157" spans="1:19" ht="41.25" customHeight="1">
      <c r="A157" s="12" t="s">
        <v>131</v>
      </c>
      <c r="B157" s="54">
        <f t="shared" si="33"/>
        <v>45342</v>
      </c>
      <c r="C157" s="54">
        <f t="shared" si="34"/>
        <v>466025.47408000001</v>
      </c>
      <c r="D157" s="63">
        <f>[25]РеалПрод!C185+[26]Свод!C174</f>
        <v>15114</v>
      </c>
      <c r="E157" s="63">
        <v>16172.97408</v>
      </c>
      <c r="F157" s="63">
        <v>15114</v>
      </c>
      <c r="G157" s="63">
        <v>345622</v>
      </c>
      <c r="H157" s="63">
        <v>15114</v>
      </c>
      <c r="I157" s="63">
        <f>69487/2*3</f>
        <v>104230.5</v>
      </c>
      <c r="J157" s="44"/>
      <c r="K157" s="64"/>
      <c r="L157" s="62" t="s">
        <v>306</v>
      </c>
      <c r="S157" s="62" t="s">
        <v>306</v>
      </c>
    </row>
    <row r="158" spans="1:19" ht="39" customHeight="1">
      <c r="A158" s="12" t="s">
        <v>132</v>
      </c>
      <c r="B158" s="54">
        <f t="shared" si="33"/>
        <v>73321</v>
      </c>
      <c r="C158" s="54">
        <f t="shared" si="34"/>
        <v>2337627.2804399999</v>
      </c>
      <c r="D158" s="63">
        <f>[25]РеалПрод!C186+[26]Свод!C175</f>
        <v>24442</v>
      </c>
      <c r="E158" s="63">
        <v>901926.28044</v>
      </c>
      <c r="F158" s="63">
        <v>24440</v>
      </c>
      <c r="G158" s="63">
        <v>1393329</v>
      </c>
      <c r="H158" s="63">
        <v>24439</v>
      </c>
      <c r="I158" s="63">
        <f>28248/2*3</f>
        <v>42372</v>
      </c>
      <c r="J158" s="44"/>
      <c r="K158" s="64"/>
      <c r="L158" s="62" t="s">
        <v>307</v>
      </c>
      <c r="S158" s="62" t="s">
        <v>307</v>
      </c>
    </row>
    <row r="159" spans="1:19" ht="12.75" customHeight="1" outlineLevel="1">
      <c r="A159" s="12" t="s">
        <v>18</v>
      </c>
      <c r="B159" s="54">
        <f t="shared" si="33"/>
        <v>0</v>
      </c>
      <c r="C159" s="54">
        <f t="shared" si="34"/>
        <v>0</v>
      </c>
      <c r="D159" s="63">
        <v>0</v>
      </c>
      <c r="E159" s="63"/>
      <c r="F159" s="63">
        <v>0</v>
      </c>
      <c r="G159" s="63"/>
      <c r="H159" s="63">
        <v>0</v>
      </c>
      <c r="I159" s="63"/>
      <c r="J159" s="44"/>
      <c r="K159" s="64"/>
      <c r="L159" s="62" t="s">
        <v>18</v>
      </c>
      <c r="S159" s="62" t="s">
        <v>18</v>
      </c>
    </row>
    <row r="160" spans="1:19" ht="25.5" customHeight="1" outlineLevel="1">
      <c r="A160" s="12" t="s">
        <v>163</v>
      </c>
      <c r="B160" s="54">
        <f t="shared" si="33"/>
        <v>0</v>
      </c>
      <c r="C160" s="54">
        <f t="shared" si="34"/>
        <v>57279.645000000004</v>
      </c>
      <c r="D160" s="63">
        <f>[25]РеалПрод!C188+[26]Свод!C176</f>
        <v>0</v>
      </c>
      <c r="E160" s="63">
        <v>17238.145</v>
      </c>
      <c r="F160" s="63">
        <v>0</v>
      </c>
      <c r="G160" s="63">
        <v>18536</v>
      </c>
      <c r="H160" s="63">
        <v>0</v>
      </c>
      <c r="I160" s="63">
        <f>14337/2*3</f>
        <v>21505.5</v>
      </c>
      <c r="J160" s="44"/>
      <c r="K160" s="64"/>
      <c r="L160" s="62" t="s">
        <v>308</v>
      </c>
      <c r="S160" s="62" t="s">
        <v>308</v>
      </c>
    </row>
    <row r="161" spans="1:19" ht="12.75" customHeight="1" outlineLevel="1">
      <c r="A161" s="12" t="s">
        <v>164</v>
      </c>
      <c r="B161" s="54">
        <f t="shared" si="33"/>
        <v>3746785</v>
      </c>
      <c r="C161" s="54">
        <f t="shared" si="34"/>
        <v>911676.66544000001</v>
      </c>
      <c r="D161" s="63">
        <f>[25]РеалПрод!C189+[26]Свод!C177</f>
        <v>0</v>
      </c>
      <c r="E161" s="63">
        <v>299936.66544000001</v>
      </c>
      <c r="F161" s="63">
        <v>1777151</v>
      </c>
      <c r="G161" s="63">
        <v>302593</v>
      </c>
      <c r="H161" s="63">
        <f>H163+H166+H164+H165</f>
        <v>1969634</v>
      </c>
      <c r="I161" s="63">
        <f>206098/2*3</f>
        <v>309147</v>
      </c>
      <c r="J161" s="44"/>
      <c r="K161" s="64"/>
      <c r="L161" s="62" t="s">
        <v>309</v>
      </c>
      <c r="S161" s="62" t="s">
        <v>309</v>
      </c>
    </row>
    <row r="162" spans="1:19" ht="24" customHeight="1">
      <c r="A162" s="12" t="s">
        <v>133</v>
      </c>
      <c r="B162" s="54">
        <f t="shared" si="33"/>
        <v>1758531</v>
      </c>
      <c r="C162" s="54">
        <f t="shared" si="34"/>
        <v>7238322.5024699997</v>
      </c>
      <c r="D162" s="63">
        <f>SUM(D163:D166)</f>
        <v>1758531</v>
      </c>
      <c r="E162" s="63">
        <f>SUM(E163:E166)</f>
        <v>2331747.5024700002</v>
      </c>
      <c r="F162" s="63">
        <v>0</v>
      </c>
      <c r="G162" s="63">
        <f t="shared" ref="G162:I162" si="35">SUM(G163:G166)</f>
        <v>2292690</v>
      </c>
      <c r="H162" s="63">
        <v>0</v>
      </c>
      <c r="I162" s="63">
        <f t="shared" si="35"/>
        <v>2613885</v>
      </c>
      <c r="J162" s="44"/>
      <c r="K162" s="64"/>
      <c r="L162" s="62" t="s">
        <v>310</v>
      </c>
      <c r="S162" s="62" t="s">
        <v>310</v>
      </c>
    </row>
    <row r="163" spans="1:19" ht="27.75" customHeight="1">
      <c r="A163" s="12" t="s">
        <v>134</v>
      </c>
      <c r="B163" s="54">
        <f t="shared" si="33"/>
        <v>888666</v>
      </c>
      <c r="C163" s="54">
        <f t="shared" si="34"/>
        <v>717720.54988000006</v>
      </c>
      <c r="D163" s="63">
        <v>293302</v>
      </c>
      <c r="E163" s="63">
        <v>267018.04988000001</v>
      </c>
      <c r="F163" s="63">
        <v>296922</v>
      </c>
      <c r="G163" s="63">
        <v>228602</v>
      </c>
      <c r="H163" s="63">
        <v>298442</v>
      </c>
      <c r="I163" s="63">
        <f>148067/2*3</f>
        <v>222100.5</v>
      </c>
      <c r="J163" s="44"/>
      <c r="K163" s="64"/>
      <c r="L163" s="62" t="s">
        <v>311</v>
      </c>
      <c r="S163" s="62" t="s">
        <v>311</v>
      </c>
    </row>
    <row r="164" spans="1:19" ht="37.5" customHeight="1">
      <c r="A164" s="12" t="s">
        <v>135</v>
      </c>
      <c r="B164" s="54">
        <f t="shared" si="33"/>
        <v>0</v>
      </c>
      <c r="C164" s="54">
        <f t="shared" si="34"/>
        <v>1776900.19429</v>
      </c>
      <c r="D164" s="63">
        <v>0</v>
      </c>
      <c r="E164" s="63">
        <v>653128.69429000001</v>
      </c>
      <c r="F164" s="63">
        <v>0</v>
      </c>
      <c r="G164" s="63">
        <v>471096</v>
      </c>
      <c r="H164" s="63">
        <v>0</v>
      </c>
      <c r="I164" s="63">
        <f>435117/2*3</f>
        <v>652675.5</v>
      </c>
      <c r="J164" s="44"/>
      <c r="K164" s="64"/>
      <c r="L164" s="62" t="s">
        <v>312</v>
      </c>
      <c r="S164" s="62" t="s">
        <v>312</v>
      </c>
    </row>
    <row r="165" spans="1:19" ht="39" customHeight="1" outlineLevel="1">
      <c r="A165" s="12" t="s">
        <v>165</v>
      </c>
      <c r="B165" s="54">
        <f t="shared" si="33"/>
        <v>0</v>
      </c>
      <c r="C165" s="54">
        <f t="shared" si="34"/>
        <v>100564.26378000001</v>
      </c>
      <c r="D165" s="63">
        <f>[25]РеалПрод!C193+[26]Свод!C182</f>
        <v>0</v>
      </c>
      <c r="E165" s="63">
        <v>29260.263780000001</v>
      </c>
      <c r="F165" s="63">
        <v>0</v>
      </c>
      <c r="G165" s="63">
        <v>56100</v>
      </c>
      <c r="H165" s="63">
        <v>0</v>
      </c>
      <c r="I165" s="63">
        <f>10136/2*3</f>
        <v>15204</v>
      </c>
      <c r="J165" s="44"/>
      <c r="K165" s="64"/>
      <c r="L165" s="62" t="s">
        <v>313</v>
      </c>
      <c r="S165" s="62" t="s">
        <v>313</v>
      </c>
    </row>
    <row r="166" spans="1:19" ht="36" customHeight="1" outlineLevel="1">
      <c r="A166" s="12" t="s">
        <v>166</v>
      </c>
      <c r="B166" s="54">
        <f t="shared" si="33"/>
        <v>4616650</v>
      </c>
      <c r="C166" s="54">
        <f t="shared" si="34"/>
        <v>4643137.4945200002</v>
      </c>
      <c r="D166" s="63">
        <f>[25]РеалПрод!C194+[26]Свод!C183</f>
        <v>1465229</v>
      </c>
      <c r="E166" s="63">
        <v>1382340.4945199999</v>
      </c>
      <c r="F166" s="63">
        <v>1480229</v>
      </c>
      <c r="G166" s="63">
        <v>1536892</v>
      </c>
      <c r="H166" s="63">
        <v>1671192</v>
      </c>
      <c r="I166" s="63">
        <f>1149270/2*3</f>
        <v>1723905</v>
      </c>
      <c r="J166" s="44"/>
      <c r="K166" s="64"/>
      <c r="L166" s="62" t="s">
        <v>314</v>
      </c>
      <c r="S166" s="62" t="s">
        <v>314</v>
      </c>
    </row>
    <row r="167" spans="1:19" ht="39.75" customHeight="1">
      <c r="A167" s="12" t="s">
        <v>136</v>
      </c>
      <c r="B167" s="54">
        <f t="shared" si="33"/>
        <v>1131997</v>
      </c>
      <c r="C167" s="54">
        <f t="shared" si="34"/>
        <v>1789276.9164399998</v>
      </c>
      <c r="D167" s="63">
        <v>428968</v>
      </c>
      <c r="E167" s="63">
        <f>E168+E169+E170+E171</f>
        <v>521007.41643999994</v>
      </c>
      <c r="F167" s="63">
        <v>356110</v>
      </c>
      <c r="G167" s="63">
        <f t="shared" ref="G167:I167" si="36">G168+G169+G170+G171</f>
        <v>535722</v>
      </c>
      <c r="H167" s="63">
        <f>H168+H169+H170+H171</f>
        <v>346919</v>
      </c>
      <c r="I167" s="63">
        <f t="shared" si="36"/>
        <v>732547.5</v>
      </c>
      <c r="J167" s="44"/>
      <c r="K167" s="64"/>
      <c r="L167" s="62" t="s">
        <v>315</v>
      </c>
      <c r="S167" s="62" t="s">
        <v>315</v>
      </c>
    </row>
    <row r="168" spans="1:19" ht="12.75" customHeight="1">
      <c r="A168" s="12" t="s">
        <v>137</v>
      </c>
      <c r="B168" s="54">
        <f t="shared" si="33"/>
        <v>212604</v>
      </c>
      <c r="C168" s="54">
        <f t="shared" si="34"/>
        <v>540242.58889999997</v>
      </c>
      <c r="D168" s="63">
        <v>75744</v>
      </c>
      <c r="E168" s="63">
        <v>95274.088900000002</v>
      </c>
      <c r="F168" s="63">
        <v>75744</v>
      </c>
      <c r="G168" s="63">
        <v>164086</v>
      </c>
      <c r="H168" s="63">
        <v>61116</v>
      </c>
      <c r="I168" s="63">
        <f>187255/2*3</f>
        <v>280882.5</v>
      </c>
      <c r="J168" s="44"/>
      <c r="K168" s="64"/>
      <c r="L168" s="62" t="s">
        <v>316</v>
      </c>
      <c r="S168" s="62" t="s">
        <v>316</v>
      </c>
    </row>
    <row r="169" spans="1:19" outlineLevel="1">
      <c r="A169" s="12" t="s">
        <v>167</v>
      </c>
      <c r="B169" s="54">
        <f t="shared" si="33"/>
        <v>218526</v>
      </c>
      <c r="C169" s="54">
        <f t="shared" si="34"/>
        <v>224455.98891000001</v>
      </c>
      <c r="D169" s="63">
        <v>72553</v>
      </c>
      <c r="E169" s="63">
        <v>68268.98891</v>
      </c>
      <c r="F169" s="63">
        <v>72553</v>
      </c>
      <c r="G169" s="63">
        <v>71329</v>
      </c>
      <c r="H169" s="63">
        <f>9536+63884</f>
        <v>73420</v>
      </c>
      <c r="I169" s="63">
        <f>56572/2*3</f>
        <v>84858</v>
      </c>
      <c r="J169" s="44"/>
      <c r="K169" s="64"/>
      <c r="L169" s="62" t="s">
        <v>317</v>
      </c>
      <c r="S169" s="62" t="s">
        <v>317</v>
      </c>
    </row>
    <row r="170" spans="1:19" outlineLevel="1">
      <c r="A170" s="96" t="s">
        <v>355</v>
      </c>
      <c r="B170" s="54">
        <f t="shared" si="33"/>
        <v>0</v>
      </c>
      <c r="C170" s="54">
        <f t="shared" si="34"/>
        <v>49648.165630000003</v>
      </c>
      <c r="D170" s="63">
        <v>0</v>
      </c>
      <c r="E170" s="63">
        <v>16546.66563</v>
      </c>
      <c r="F170" s="63">
        <v>0</v>
      </c>
      <c r="G170" s="63">
        <v>16546</v>
      </c>
      <c r="H170" s="63">
        <v>0</v>
      </c>
      <c r="I170" s="63">
        <f>11037/2*3</f>
        <v>16555.5</v>
      </c>
      <c r="J170" s="44"/>
      <c r="K170" s="64"/>
      <c r="L170" s="62" t="s">
        <v>345</v>
      </c>
      <c r="S170" s="62" t="s">
        <v>345</v>
      </c>
    </row>
    <row r="171" spans="1:19" outlineLevel="1">
      <c r="A171" s="12" t="s">
        <v>364</v>
      </c>
      <c r="B171" s="54">
        <f t="shared" si="33"/>
        <v>700867</v>
      </c>
      <c r="C171" s="54">
        <f t="shared" si="34"/>
        <v>974930.17299999995</v>
      </c>
      <c r="D171" s="63">
        <v>280671</v>
      </c>
      <c r="E171" s="63">
        <f>181129.43217+159788.24083</f>
        <v>340917.67299999995</v>
      </c>
      <c r="F171" s="63">
        <f>114972+91395+1446</f>
        <v>207813</v>
      </c>
      <c r="G171" s="63">
        <f>177361+106400</f>
        <v>283761</v>
      </c>
      <c r="H171" s="63">
        <f>57917+69303+26883+56673+1607</f>
        <v>212383</v>
      </c>
      <c r="I171" s="63">
        <f>140909/2*3+92592/2*3</f>
        <v>350251.5</v>
      </c>
      <c r="J171" s="44"/>
      <c r="K171" s="64"/>
      <c r="L171" s="62" t="s">
        <v>318</v>
      </c>
      <c r="S171" s="62" t="s">
        <v>318</v>
      </c>
    </row>
    <row r="172" spans="1:19" ht="38.25" outlineLevel="1">
      <c r="A172" s="12" t="s">
        <v>168</v>
      </c>
      <c r="B172" s="54">
        <f t="shared" si="33"/>
        <v>0</v>
      </c>
      <c r="C172" s="54">
        <f t="shared" si="34"/>
        <v>0</v>
      </c>
      <c r="D172" s="63">
        <f>[25]РеалПрод!C200+[26]Свод!C188</f>
        <v>0</v>
      </c>
      <c r="E172" s="63"/>
      <c r="F172" s="63">
        <v>0</v>
      </c>
      <c r="G172" s="63"/>
      <c r="H172" s="63">
        <v>0</v>
      </c>
      <c r="I172" s="63"/>
      <c r="J172" s="44"/>
      <c r="K172" s="64"/>
      <c r="L172" s="62" t="s">
        <v>319</v>
      </c>
      <c r="S172" s="62" t="s">
        <v>319</v>
      </c>
    </row>
    <row r="173" spans="1:19" ht="38.25" outlineLevel="1">
      <c r="A173" s="12" t="s">
        <v>169</v>
      </c>
      <c r="B173" s="54">
        <f t="shared" si="33"/>
        <v>0</v>
      </c>
      <c r="C173" s="54">
        <f t="shared" si="34"/>
        <v>0</v>
      </c>
      <c r="D173" s="63">
        <f>[25]РеалПрод!C201+[26]Свод!C189</f>
        <v>0</v>
      </c>
      <c r="E173" s="63"/>
      <c r="F173" s="63">
        <v>0</v>
      </c>
      <c r="G173" s="63"/>
      <c r="H173" s="63">
        <v>0</v>
      </c>
      <c r="I173" s="63"/>
      <c r="J173" s="44"/>
      <c r="K173" s="64"/>
      <c r="L173" s="62" t="s">
        <v>320</v>
      </c>
      <c r="S173" s="62" t="s">
        <v>320</v>
      </c>
    </row>
    <row r="174" spans="1:19" ht="39.75" customHeight="1" outlineLevel="1">
      <c r="A174" s="12" t="s">
        <v>170</v>
      </c>
      <c r="B174" s="54">
        <f t="shared" si="33"/>
        <v>0</v>
      </c>
      <c r="C174" s="54">
        <f t="shared" si="34"/>
        <v>0</v>
      </c>
      <c r="D174" s="63">
        <f>[25]РеалПрод!C202+[26]Свод!C190</f>
        <v>0</v>
      </c>
      <c r="E174" s="63"/>
      <c r="F174" s="63">
        <v>0</v>
      </c>
      <c r="G174" s="63"/>
      <c r="H174" s="63">
        <v>0</v>
      </c>
      <c r="I174" s="63"/>
      <c r="J174" s="44"/>
      <c r="K174" s="64"/>
      <c r="L174" s="62" t="s">
        <v>321</v>
      </c>
      <c r="S174" s="62" t="s">
        <v>321</v>
      </c>
    </row>
    <row r="175" spans="1:19">
      <c r="A175" s="12" t="s">
        <v>138</v>
      </c>
      <c r="B175" s="54">
        <f t="shared" si="33"/>
        <v>1181303</v>
      </c>
      <c r="C175" s="54">
        <f t="shared" si="34"/>
        <v>1583827.9762599999</v>
      </c>
      <c r="D175" s="63">
        <f>[25]РеалПрод!C203+[26]Свод!C191</f>
        <v>250000</v>
      </c>
      <c r="E175" s="63">
        <v>460004.97626000002</v>
      </c>
      <c r="F175" s="63">
        <v>350000</v>
      </c>
      <c r="G175" s="63">
        <v>620534</v>
      </c>
      <c r="H175" s="63">
        <v>581303</v>
      </c>
      <c r="I175" s="63">
        <f>335526/2*3</f>
        <v>503289</v>
      </c>
      <c r="J175" s="44"/>
      <c r="K175" s="64"/>
      <c r="L175" s="62" t="s">
        <v>322</v>
      </c>
      <c r="S175" s="62" t="s">
        <v>322</v>
      </c>
    </row>
    <row r="176" spans="1:19" ht="25.5">
      <c r="A176" s="12" t="s">
        <v>139</v>
      </c>
      <c r="B176" s="54">
        <f t="shared" si="33"/>
        <v>0</v>
      </c>
      <c r="C176" s="54">
        <f t="shared" si="34"/>
        <v>51964.957219999997</v>
      </c>
      <c r="D176" s="63">
        <f>[25]РеалПрод!C204+[26]Свод!C192</f>
        <v>0</v>
      </c>
      <c r="E176" s="63">
        <v>4633.9572200000002</v>
      </c>
      <c r="F176" s="63"/>
      <c r="G176" s="63"/>
      <c r="H176" s="63"/>
      <c r="I176" s="63">
        <f>31554/2*3</f>
        <v>47331</v>
      </c>
      <c r="J176" s="44"/>
      <c r="K176" s="64"/>
      <c r="L176" s="62" t="s">
        <v>323</v>
      </c>
      <c r="S176" s="62" t="s">
        <v>323</v>
      </c>
    </row>
    <row r="177" spans="1:19" ht="25.5">
      <c r="A177" s="11" t="s">
        <v>171</v>
      </c>
      <c r="B177" s="54">
        <f t="shared" si="33"/>
        <v>61590532</v>
      </c>
      <c r="C177" s="54">
        <f t="shared" si="34"/>
        <v>94342897.436989993</v>
      </c>
      <c r="D177" s="70">
        <f>SUM(D178:D187)</f>
        <v>16380623</v>
      </c>
      <c r="E177" s="70">
        <f>SUM(E178:E187)</f>
        <v>26322186.43699</v>
      </c>
      <c r="F177" s="70">
        <f t="shared" ref="F177:I177" si="37">SUM(F178:F187)</f>
        <v>21623190</v>
      </c>
      <c r="G177" s="70">
        <f t="shared" si="37"/>
        <v>38077186</v>
      </c>
      <c r="H177" s="70">
        <f>SUM(H178:H187)</f>
        <v>23586719</v>
      </c>
      <c r="I177" s="70">
        <f t="shared" si="37"/>
        <v>29943525</v>
      </c>
      <c r="J177" s="45"/>
      <c r="K177" s="71"/>
      <c r="L177" s="61" t="s">
        <v>324</v>
      </c>
      <c r="N177" s="16"/>
      <c r="S177" s="61" t="s">
        <v>324</v>
      </c>
    </row>
    <row r="178" spans="1:19" ht="25.5">
      <c r="A178" s="11" t="s">
        <v>172</v>
      </c>
      <c r="B178" s="54">
        <f t="shared" si="33"/>
        <v>1792347</v>
      </c>
      <c r="C178" s="54">
        <f t="shared" si="34"/>
        <v>0</v>
      </c>
      <c r="D178" s="63">
        <f>[25]РеалПрод!C206+[26]Свод!C195</f>
        <v>582475</v>
      </c>
      <c r="E178" s="63"/>
      <c r="F178" s="63">
        <v>638216</v>
      </c>
      <c r="G178" s="63"/>
      <c r="H178" s="63">
        <v>571656</v>
      </c>
      <c r="I178" s="63"/>
      <c r="J178" s="44"/>
      <c r="K178" s="64"/>
      <c r="L178" s="62" t="s">
        <v>325</v>
      </c>
      <c r="S178" s="62" t="s">
        <v>325</v>
      </c>
    </row>
    <row r="179" spans="1:19" ht="12" customHeight="1">
      <c r="A179" s="11" t="s">
        <v>173</v>
      </c>
      <c r="B179" s="54">
        <f t="shared" si="33"/>
        <v>945353</v>
      </c>
      <c r="C179" s="54">
        <f t="shared" si="34"/>
        <v>1078025.1895600001</v>
      </c>
      <c r="D179" s="63">
        <f>[25]РеалПрод!C207+[26]Свод!C196</f>
        <v>313531</v>
      </c>
      <c r="E179" s="63">
        <v>362440.68956000003</v>
      </c>
      <c r="F179" s="63">
        <v>315757</v>
      </c>
      <c r="G179" s="63">
        <v>360680</v>
      </c>
      <c r="H179" s="63">
        <v>316065</v>
      </c>
      <c r="I179" s="63">
        <f>236603/2*3</f>
        <v>354904.5</v>
      </c>
      <c r="J179" s="44"/>
      <c r="K179" s="64"/>
      <c r="L179" s="62" t="s">
        <v>326</v>
      </c>
      <c r="S179" s="62" t="s">
        <v>326</v>
      </c>
    </row>
    <row r="180" spans="1:19" outlineLevel="1">
      <c r="A180" s="11" t="s">
        <v>174</v>
      </c>
      <c r="B180" s="54">
        <f t="shared" si="33"/>
        <v>0</v>
      </c>
      <c r="C180" s="54">
        <f t="shared" si="34"/>
        <v>0</v>
      </c>
      <c r="D180" s="63">
        <f>'[25]РеалПрод (с ТДЦ)'!C208+[26]Свод!C197</f>
        <v>0</v>
      </c>
      <c r="E180" s="63"/>
      <c r="F180" s="63">
        <v>0</v>
      </c>
      <c r="G180" s="63"/>
      <c r="H180" s="63">
        <v>0</v>
      </c>
      <c r="I180" s="63"/>
      <c r="J180" s="44"/>
      <c r="K180" s="64"/>
      <c r="L180" s="62" t="s">
        <v>327</v>
      </c>
      <c r="S180" s="62" t="s">
        <v>327</v>
      </c>
    </row>
    <row r="181" spans="1:19" outlineLevel="1">
      <c r="A181" s="11" t="s">
        <v>175</v>
      </c>
      <c r="B181" s="54">
        <f t="shared" si="33"/>
        <v>0</v>
      </c>
      <c r="C181" s="54">
        <f t="shared" si="34"/>
        <v>0</v>
      </c>
      <c r="D181" s="63">
        <f>'[25]РеалПрод (с ТДЦ)'!C209+[26]Свод!C198</f>
        <v>0</v>
      </c>
      <c r="E181" s="63"/>
      <c r="F181" s="63">
        <v>0</v>
      </c>
      <c r="G181" s="63"/>
      <c r="H181" s="63">
        <v>0</v>
      </c>
      <c r="I181" s="63"/>
      <c r="J181" s="44"/>
      <c r="K181" s="64"/>
      <c r="L181" s="62" t="s">
        <v>328</v>
      </c>
      <c r="S181" s="62" t="s">
        <v>328</v>
      </c>
    </row>
    <row r="182" spans="1:19" ht="13.5" customHeight="1">
      <c r="A182" s="11" t="s">
        <v>176</v>
      </c>
      <c r="B182" s="54">
        <f t="shared" si="33"/>
        <v>44331384</v>
      </c>
      <c r="C182" s="54">
        <f t="shared" si="34"/>
        <v>49195467.402029999</v>
      </c>
      <c r="D182" s="63">
        <f>'[25]РеалПрод (с ТДЦ)'!C210+[26]Свод!C199</f>
        <v>10657452</v>
      </c>
      <c r="E182" s="63">
        <v>9714957.9020300005</v>
      </c>
      <c r="F182" s="63">
        <v>15821582</v>
      </c>
      <c r="G182" s="63">
        <v>16580728</v>
      </c>
      <c r="H182" s="63">
        <v>17852350</v>
      </c>
      <c r="I182" s="63">
        <f>15266521/2*3</f>
        <v>22899781.5</v>
      </c>
      <c r="J182" s="44"/>
      <c r="K182" s="64"/>
      <c r="L182" s="62" t="s">
        <v>329</v>
      </c>
      <c r="S182" s="62" t="s">
        <v>329</v>
      </c>
    </row>
    <row r="183" spans="1:19" ht="13.5" customHeight="1">
      <c r="A183" s="11" t="s">
        <v>177</v>
      </c>
      <c r="B183" s="54">
        <f t="shared" si="33"/>
        <v>1896684</v>
      </c>
      <c r="C183" s="54">
        <f t="shared" si="34"/>
        <v>1406425.8951699999</v>
      </c>
      <c r="D183" s="63">
        <f>[25]РеалПрод!C211+[26]Свод!C200</f>
        <v>620088</v>
      </c>
      <c r="E183" s="63">
        <v>473167.89516999997</v>
      </c>
      <c r="F183" s="63">
        <v>638935</v>
      </c>
      <c r="G183" s="63">
        <v>468390</v>
      </c>
      <c r="H183" s="63">
        <v>637661</v>
      </c>
      <c r="I183" s="63">
        <f>309912/2*3</f>
        <v>464868</v>
      </c>
      <c r="J183" s="44"/>
      <c r="K183" s="64"/>
      <c r="L183" s="62" t="s">
        <v>330</v>
      </c>
      <c r="S183" s="62" t="s">
        <v>330</v>
      </c>
    </row>
    <row r="184" spans="1:19">
      <c r="A184" s="11" t="s">
        <v>178</v>
      </c>
      <c r="B184" s="54">
        <f t="shared" si="33"/>
        <v>941729</v>
      </c>
      <c r="C184" s="54">
        <f t="shared" si="34"/>
        <v>998490.54799999995</v>
      </c>
      <c r="D184" s="63">
        <f>[25]РеалПрод!C212+[26]Свод!C201</f>
        <v>312732</v>
      </c>
      <c r="E184" s="63">
        <v>254854.54800000001</v>
      </c>
      <c r="F184" s="63">
        <v>314355</v>
      </c>
      <c r="G184" s="63">
        <v>340808</v>
      </c>
      <c r="H184" s="63">
        <v>314642</v>
      </c>
      <c r="I184" s="63">
        <f>268552/2*3</f>
        <v>402828</v>
      </c>
      <c r="J184" s="44"/>
      <c r="K184" s="64"/>
      <c r="L184" s="62" t="s">
        <v>331</v>
      </c>
      <c r="S184" s="62" t="s">
        <v>331</v>
      </c>
    </row>
    <row r="185" spans="1:19">
      <c r="A185" s="11" t="s">
        <v>179</v>
      </c>
      <c r="B185" s="54">
        <f t="shared" ref="B185:B192" si="38">D185+F185+H185+J185</f>
        <v>11683035</v>
      </c>
      <c r="C185" s="54">
        <f t="shared" ref="C185:C192" si="39">E185+G185+I185+K185</f>
        <v>16661971.0627</v>
      </c>
      <c r="D185" s="63">
        <f>[25]РеалПрод!C213+[26]Свод!C202</f>
        <v>3894345</v>
      </c>
      <c r="E185" s="63">
        <v>5553339.0626999997</v>
      </c>
      <c r="F185" s="63">
        <v>3894345</v>
      </c>
      <c r="G185" s="63">
        <v>5553340</v>
      </c>
      <c r="H185" s="63">
        <v>3894345</v>
      </c>
      <c r="I185" s="63">
        <f>3703528/2*3</f>
        <v>5555292</v>
      </c>
      <c r="J185" s="44"/>
      <c r="K185" s="64"/>
      <c r="L185" s="62" t="s">
        <v>332</v>
      </c>
      <c r="Q185" s="16"/>
      <c r="S185" s="62" t="s">
        <v>332</v>
      </c>
    </row>
    <row r="186" spans="1:19" outlineLevel="1">
      <c r="A186" s="95" t="s">
        <v>365</v>
      </c>
      <c r="B186" s="54">
        <f t="shared" si="38"/>
        <v>0</v>
      </c>
      <c r="C186" s="54">
        <f t="shared" si="39"/>
        <v>24863260.627609998</v>
      </c>
      <c r="D186" s="63">
        <f>[25]РеалПрод!C214+[26]Свод!C202</f>
        <v>0</v>
      </c>
      <c r="E186" s="63">
        <v>9963143.1276099999</v>
      </c>
      <c r="F186" s="63">
        <v>0</v>
      </c>
      <c r="G186" s="63">
        <v>14634472</v>
      </c>
      <c r="H186" s="63">
        <v>0</v>
      </c>
      <c r="I186" s="63">
        <f>177097/2*3</f>
        <v>265645.5</v>
      </c>
      <c r="J186" s="44"/>
      <c r="K186" s="64"/>
      <c r="L186" s="62" t="s">
        <v>346</v>
      </c>
      <c r="S186" s="62" t="s">
        <v>346</v>
      </c>
    </row>
    <row r="187" spans="1:19" ht="12" customHeight="1" outlineLevel="1">
      <c r="A187" s="95" t="s">
        <v>366</v>
      </c>
      <c r="B187" s="54">
        <f t="shared" si="38"/>
        <v>0</v>
      </c>
      <c r="C187" s="54">
        <f t="shared" si="39"/>
        <v>139256.71192</v>
      </c>
      <c r="D187" s="63">
        <f>'[25]РеалПрод (с ТДЦ)'!C215+[26]Свод!C204</f>
        <v>0</v>
      </c>
      <c r="E187" s="63">
        <v>283.21192000000002</v>
      </c>
      <c r="F187" s="63">
        <v>0</v>
      </c>
      <c r="G187" s="63">
        <v>138768</v>
      </c>
      <c r="H187" s="63">
        <v>0</v>
      </c>
      <c r="I187" s="63">
        <f>137/2*3</f>
        <v>205.5</v>
      </c>
      <c r="J187" s="44"/>
      <c r="K187" s="64"/>
      <c r="L187" s="62" t="s">
        <v>347</v>
      </c>
      <c r="S187" s="62" t="s">
        <v>347</v>
      </c>
    </row>
    <row r="188" spans="1:19" outlineLevel="1">
      <c r="A188" s="11" t="s">
        <v>181</v>
      </c>
      <c r="B188" s="54">
        <f t="shared" si="38"/>
        <v>0</v>
      </c>
      <c r="C188" s="54">
        <f t="shared" si="39"/>
        <v>13329315.789960001</v>
      </c>
      <c r="D188" s="92">
        <f>[25]РеалПрод!C216+[26]Свод!C205</f>
        <v>0</v>
      </c>
      <c r="E188" s="105">
        <v>6000123.2899599997</v>
      </c>
      <c r="F188" s="92">
        <v>0</v>
      </c>
      <c r="G188" s="92">
        <v>4805441</v>
      </c>
      <c r="H188" s="92">
        <v>0</v>
      </c>
      <c r="I188" s="92">
        <f>1682501/2*3</f>
        <v>2523751.5</v>
      </c>
      <c r="J188" s="50"/>
      <c r="K188" s="93"/>
      <c r="L188" s="62" t="s">
        <v>333</v>
      </c>
      <c r="S188" s="62" t="s">
        <v>333</v>
      </c>
    </row>
    <row r="189" spans="1:19" ht="42.75" customHeight="1" outlineLevel="1">
      <c r="A189" s="11" t="s">
        <v>180</v>
      </c>
      <c r="B189" s="54">
        <f t="shared" si="38"/>
        <v>0</v>
      </c>
      <c r="C189" s="54">
        <f t="shared" si="39"/>
        <v>5491</v>
      </c>
      <c r="D189" s="92">
        <f>[25]РеалПрод!C217+[26]Свод!C205</f>
        <v>0</v>
      </c>
      <c r="E189" s="92"/>
      <c r="F189" s="92">
        <v>0</v>
      </c>
      <c r="G189" s="92">
        <f>5491</f>
        <v>5491</v>
      </c>
      <c r="H189" s="92">
        <v>0</v>
      </c>
      <c r="I189" s="92"/>
      <c r="J189" s="50"/>
      <c r="K189" s="93"/>
      <c r="L189" s="62" t="s">
        <v>334</v>
      </c>
      <c r="S189" s="62" t="s">
        <v>334</v>
      </c>
    </row>
    <row r="190" spans="1:19" ht="57.75" customHeight="1" outlineLevel="1">
      <c r="A190" s="11" t="s">
        <v>182</v>
      </c>
      <c r="B190" s="54">
        <f t="shared" si="38"/>
        <v>0</v>
      </c>
      <c r="C190" s="54">
        <f t="shared" si="39"/>
        <v>0</v>
      </c>
      <c r="D190" s="92">
        <f>[25]РеалПрод!C218+[26]Свод!C206</f>
        <v>0</v>
      </c>
      <c r="E190" s="92"/>
      <c r="F190" s="92">
        <v>0</v>
      </c>
      <c r="G190" s="92"/>
      <c r="H190" s="92">
        <v>0</v>
      </c>
      <c r="I190" s="92"/>
      <c r="J190" s="50"/>
      <c r="K190" s="93"/>
      <c r="L190" s="62" t="s">
        <v>335</v>
      </c>
      <c r="S190" s="62" t="s">
        <v>335</v>
      </c>
    </row>
    <row r="191" spans="1:19" ht="38.25" outlineLevel="1">
      <c r="A191" s="95" t="s">
        <v>353</v>
      </c>
      <c r="B191" s="54">
        <f t="shared" si="38"/>
        <v>0</v>
      </c>
      <c r="C191" s="54">
        <f t="shared" si="39"/>
        <v>743297.79194000002</v>
      </c>
      <c r="D191" s="92">
        <f>[25]РеалПрод!C219+[26]Свод!C207</f>
        <v>0</v>
      </c>
      <c r="E191" s="97">
        <v>251715.79194</v>
      </c>
      <c r="F191" s="92">
        <v>0</v>
      </c>
      <c r="G191" s="92">
        <v>271463</v>
      </c>
      <c r="H191" s="92">
        <v>0</v>
      </c>
      <c r="I191" s="92">
        <f>146746/2*3</f>
        <v>220119</v>
      </c>
      <c r="J191" s="50"/>
      <c r="K191" s="93"/>
      <c r="L191" s="62" t="s">
        <v>349</v>
      </c>
      <c r="S191" s="62" t="s">
        <v>349</v>
      </c>
    </row>
    <row r="192" spans="1:19" ht="25.5" customHeight="1" thickBot="1">
      <c r="A192" s="95" t="s">
        <v>354</v>
      </c>
      <c r="B192" s="54">
        <f t="shared" si="38"/>
        <v>8556</v>
      </c>
      <c r="C192" s="54">
        <f t="shared" si="39"/>
        <v>1057118.48805</v>
      </c>
      <c r="D192" s="63">
        <f>[25]РеалПрод!C220+[26]Свод!C208</f>
        <v>2852</v>
      </c>
      <c r="E192" s="97">
        <v>425473.48804999999</v>
      </c>
      <c r="F192" s="63">
        <v>2852</v>
      </c>
      <c r="G192" s="63">
        <v>266350</v>
      </c>
      <c r="H192" s="63">
        <v>2852</v>
      </c>
      <c r="I192" s="63">
        <f>243530/2*3</f>
        <v>365295</v>
      </c>
      <c r="J192" s="44"/>
      <c r="K192" s="64"/>
      <c r="L192" s="94" t="s">
        <v>348</v>
      </c>
      <c r="S192" s="94" t="s">
        <v>348</v>
      </c>
    </row>
    <row r="193" spans="1:13" ht="25.5" hidden="1" outlineLevel="1">
      <c r="A193" s="25" t="s">
        <v>183</v>
      </c>
      <c r="B193" s="25"/>
      <c r="C193" s="26">
        <f t="shared" ref="C193:C202" si="40">SUM(D193:K193)</f>
        <v>0</v>
      </c>
      <c r="D193" s="27">
        <f>[25]РеалПрод!C221+[26]Свод!C209</f>
        <v>0</v>
      </c>
      <c r="E193" s="27"/>
      <c r="F193" s="27"/>
      <c r="G193" s="27">
        <f>[25]РеалПрод!D221+[26]Свод!D209</f>
        <v>0</v>
      </c>
      <c r="H193" s="27"/>
      <c r="I193" s="27">
        <f>[25]РеалПрод!E221+[26]Свод!E209</f>
        <v>0</v>
      </c>
      <c r="J193" s="27"/>
      <c r="K193" s="27">
        <f>[25]РеалПрод!F221+[26]Свод!F209</f>
        <v>0</v>
      </c>
    </row>
    <row r="194" spans="1:13" hidden="1" outlineLevel="1">
      <c r="A194" s="28"/>
      <c r="B194" s="7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3" hidden="1" outlineLevel="1">
      <c r="A195" s="30" t="s">
        <v>19</v>
      </c>
      <c r="B195" s="30"/>
      <c r="C195" s="9">
        <f t="shared" si="40"/>
        <v>0</v>
      </c>
      <c r="D195" s="9">
        <f>D196+D197+D198</f>
        <v>0</v>
      </c>
      <c r="E195" s="9"/>
      <c r="F195" s="9"/>
      <c r="G195" s="9">
        <f>G196+G197+G198</f>
        <v>0</v>
      </c>
      <c r="H195" s="9"/>
      <c r="I195" s="9">
        <f>I196+I197+I198</f>
        <v>0</v>
      </c>
      <c r="J195" s="9"/>
      <c r="K195" s="9">
        <f>K196+K197+K198</f>
        <v>0</v>
      </c>
    </row>
    <row r="196" spans="1:13" hidden="1" outlineLevel="1">
      <c r="A196" s="31" t="s">
        <v>20</v>
      </c>
      <c r="B196" s="31"/>
      <c r="C196" s="10">
        <f t="shared" si="40"/>
        <v>0</v>
      </c>
      <c r="D196" s="24">
        <f>[25]РеалПрод!C224</f>
        <v>0</v>
      </c>
      <c r="E196" s="24"/>
      <c r="F196" s="24"/>
      <c r="G196" s="24">
        <f>[25]РеалПрод!D224</f>
        <v>0</v>
      </c>
      <c r="H196" s="24"/>
      <c r="I196" s="24">
        <f>[25]РеалПрод!E224</f>
        <v>0</v>
      </c>
      <c r="J196" s="24"/>
      <c r="K196" s="24">
        <f>[25]РеалПрод!F224</f>
        <v>0</v>
      </c>
    </row>
    <row r="197" spans="1:13" hidden="1" outlineLevel="1">
      <c r="A197" s="31" t="s">
        <v>21</v>
      </c>
      <c r="B197" s="31"/>
      <c r="C197" s="10">
        <f t="shared" si="40"/>
        <v>0</v>
      </c>
      <c r="D197" s="24">
        <f>[25]РеалПрод!C225</f>
        <v>0</v>
      </c>
      <c r="E197" s="24"/>
      <c r="F197" s="24"/>
      <c r="G197" s="24">
        <f>[25]РеалПрод!D225</f>
        <v>0</v>
      </c>
      <c r="H197" s="24"/>
      <c r="I197" s="24">
        <f>[25]РеалПрод!E225</f>
        <v>0</v>
      </c>
      <c r="J197" s="24"/>
      <c r="K197" s="24">
        <f>[25]РеалПрод!F225</f>
        <v>0</v>
      </c>
    </row>
    <row r="198" spans="1:13" hidden="1" outlineLevel="1">
      <c r="A198" s="31" t="s">
        <v>22</v>
      </c>
      <c r="B198" s="31"/>
      <c r="C198" s="10">
        <f t="shared" si="40"/>
        <v>0</v>
      </c>
      <c r="D198" s="24">
        <f>[25]РеалПрод!C226</f>
        <v>0</v>
      </c>
      <c r="E198" s="24"/>
      <c r="F198" s="24"/>
      <c r="G198" s="24">
        <f>[25]РеалПрод!D226</f>
        <v>0</v>
      </c>
      <c r="H198" s="24"/>
      <c r="I198" s="24">
        <f>[25]РеалПрод!E226</f>
        <v>0</v>
      </c>
      <c r="J198" s="24"/>
      <c r="K198" s="24">
        <f>[25]РеалПрод!F226</f>
        <v>0</v>
      </c>
    </row>
    <row r="199" spans="1:13" hidden="1" outlineLevel="1">
      <c r="A199" s="30" t="s">
        <v>23</v>
      </c>
      <c r="B199" s="30"/>
      <c r="C199" s="9">
        <f t="shared" si="40"/>
        <v>-119641201.81867936</v>
      </c>
      <c r="D199" s="32">
        <f>[25]РеалПрод!C227</f>
        <v>-72769025.628571466</v>
      </c>
      <c r="E199" s="32"/>
      <c r="F199" s="32"/>
      <c r="G199" s="32">
        <f>[25]РеалПрод!D227</f>
        <v>-39288847.342857197</v>
      </c>
      <c r="H199" s="32"/>
      <c r="I199" s="32">
        <f>[25]РеалПрод!E227</f>
        <v>-4642149.8916912824</v>
      </c>
      <c r="J199" s="32"/>
      <c r="K199" s="32">
        <f>[25]РеалПрод!F227</f>
        <v>-2941178.9555594176</v>
      </c>
      <c r="M199" s="33">
        <f>D200-M200</f>
        <v>258406584.83142853</v>
      </c>
    </row>
    <row r="200" spans="1:13" hidden="1" outlineLevel="1">
      <c r="A200" s="30" t="s">
        <v>24</v>
      </c>
      <c r="B200" s="30"/>
      <c r="C200" s="9">
        <f t="shared" si="40"/>
        <v>1006285698.6413208</v>
      </c>
      <c r="D200" s="32">
        <f>D87+D89+D195+D199</f>
        <v>259280602.83142853</v>
      </c>
      <c r="E200" s="32"/>
      <c r="F200" s="32"/>
      <c r="G200" s="32">
        <f>G87+G89+G195+G199</f>
        <v>338983973.65714282</v>
      </c>
      <c r="H200" s="32"/>
      <c r="I200" s="32">
        <f>I87+I89+I195+I199</f>
        <v>410962301.10830873</v>
      </c>
      <c r="J200" s="32"/>
      <c r="K200" s="32">
        <f>K87+K89+K195+K199</f>
        <v>-2941178.9555594176</v>
      </c>
      <c r="M200" s="34">
        <v>874018</v>
      </c>
    </row>
    <row r="201" spans="1:13" hidden="1" outlineLevel="1">
      <c r="A201" s="30" t="s">
        <v>25</v>
      </c>
      <c r="B201" s="30"/>
      <c r="C201" s="9">
        <f t="shared" si="40"/>
        <v>296364560</v>
      </c>
      <c r="D201" s="32">
        <f>[25]РеалПрод!C229</f>
        <v>49972318</v>
      </c>
      <c r="E201" s="32"/>
      <c r="F201" s="32"/>
      <c r="G201" s="32">
        <f>[25]РеалПрод!D229</f>
        <v>74650700</v>
      </c>
      <c r="H201" s="32"/>
      <c r="I201" s="32">
        <f>[25]РеалПрод!E229</f>
        <v>84718112</v>
      </c>
      <c r="J201" s="32"/>
      <c r="K201" s="32">
        <f>[25]РеалПрод!F229</f>
        <v>87023430</v>
      </c>
      <c r="M201" s="2">
        <v>0.2</v>
      </c>
    </row>
    <row r="202" spans="1:13" ht="13.5" hidden="1" outlineLevel="1" thickBot="1">
      <c r="A202" s="35" t="s">
        <v>26</v>
      </c>
      <c r="B202" s="35"/>
      <c r="C202" s="36">
        <f t="shared" si="40"/>
        <v>1302650258.6413207</v>
      </c>
      <c r="D202" s="36">
        <f>D200+D201</f>
        <v>309252920.83142853</v>
      </c>
      <c r="E202" s="36"/>
      <c r="F202" s="36"/>
      <c r="G202" s="36">
        <f>G200+G201</f>
        <v>413634673.65714282</v>
      </c>
      <c r="H202" s="36"/>
      <c r="I202" s="36">
        <f>I200+I201</f>
        <v>495680413.10830873</v>
      </c>
      <c r="J202" s="36"/>
      <c r="K202" s="36">
        <f>K200+K201</f>
        <v>84082251.044440582</v>
      </c>
    </row>
    <row r="203" spans="1:13" collapsed="1"/>
    <row r="204" spans="1:13" ht="28.5" customHeight="1"/>
    <row r="205" spans="1:13" ht="15.75">
      <c r="A205" s="37" t="s">
        <v>27</v>
      </c>
      <c r="B205" s="37"/>
      <c r="D205" s="3"/>
      <c r="E205" s="3"/>
      <c r="F205" s="3"/>
      <c r="K205" s="38"/>
    </row>
    <row r="206" spans="1:13" ht="15.75">
      <c r="A206" s="37" t="s">
        <v>28</v>
      </c>
      <c r="B206" s="37"/>
      <c r="C206" s="38"/>
      <c r="D206" s="38"/>
      <c r="E206" s="38"/>
      <c r="F206" s="38"/>
      <c r="G206" s="38"/>
      <c r="H206" s="38"/>
      <c r="I206" s="37" t="s">
        <v>29</v>
      </c>
      <c r="J206" s="37"/>
      <c r="K206" s="38"/>
    </row>
    <row r="207" spans="1:13" ht="15">
      <c r="A207" s="39"/>
      <c r="B207" s="39"/>
      <c r="C207" s="38"/>
      <c r="D207" s="39"/>
      <c r="E207" s="39"/>
      <c r="F207" s="39"/>
      <c r="G207" s="38"/>
      <c r="H207" s="38"/>
      <c r="I207" s="38"/>
      <c r="J207" s="38"/>
      <c r="K207" s="38"/>
    </row>
    <row r="208" spans="1:13" ht="15.75">
      <c r="A208" s="37" t="s">
        <v>30</v>
      </c>
      <c r="B208" s="37"/>
      <c r="C208" s="38"/>
      <c r="D208" s="39"/>
      <c r="E208" s="39"/>
      <c r="F208" s="39"/>
      <c r="G208" s="38"/>
      <c r="H208" s="38"/>
      <c r="I208" s="37" t="s">
        <v>31</v>
      </c>
      <c r="J208" s="37"/>
      <c r="K208" s="38"/>
    </row>
    <row r="209" spans="1:11" ht="15.75">
      <c r="A209" s="37"/>
      <c r="B209" s="37"/>
      <c r="C209" s="38"/>
      <c r="D209" s="39"/>
      <c r="E209" s="39"/>
      <c r="F209" s="39"/>
      <c r="G209" s="38"/>
      <c r="H209" s="38"/>
      <c r="I209" s="37"/>
      <c r="J209" s="37"/>
      <c r="K209" s="38"/>
    </row>
    <row r="210" spans="1:11" ht="15">
      <c r="A210" s="40" t="s">
        <v>32</v>
      </c>
      <c r="B210" s="40"/>
      <c r="C210" s="38"/>
      <c r="D210" s="39"/>
      <c r="E210" s="39"/>
      <c r="F210" s="39"/>
      <c r="G210" s="38"/>
      <c r="H210" s="38"/>
      <c r="I210" s="38"/>
      <c r="J210" s="38"/>
      <c r="K210" s="38"/>
    </row>
    <row r="211" spans="1:11">
      <c r="A211" s="40"/>
      <c r="B211" s="40"/>
      <c r="C211" s="38"/>
      <c r="G211" s="38"/>
      <c r="H211" s="38"/>
      <c r="I211" s="38"/>
      <c r="J211" s="38"/>
      <c r="K211" s="38"/>
    </row>
  </sheetData>
  <mergeCells count="9">
    <mergeCell ref="J8:K8"/>
    <mergeCell ref="B7:C8"/>
    <mergeCell ref="A7:A9"/>
    <mergeCell ref="A5:K5"/>
    <mergeCell ref="A6:K6"/>
    <mergeCell ref="D8:E8"/>
    <mergeCell ref="F8:G8"/>
    <mergeCell ref="H8:I8"/>
    <mergeCell ref="D7:G7"/>
  </mergeCells>
  <pageMargins left="0.35433070866141736" right="0" top="3.937007874015748E-2" bottom="0.15748031496062992" header="0.51181102362204722" footer="0.51181102362204722"/>
  <pageSetup paperSize="9" scale="70" fitToHeight="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РеалВсего (с ТДЦ)</vt:lpstr>
      <vt:lpstr>'РеалВсего (с ТДЦ)'!Заголовки_для_печати</vt:lpstr>
      <vt:lpstr>'РеалВсего (с ТДЦ)'!Область_печати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2024-10-09T07:26:59Z</dcterms:modified>
</cp:coreProperties>
</file>